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aichia\Desktop\進撃の副研究員\犯罪狀況及其分析\110年犯罪狀況及其分析\完稿\"/>
    </mc:Choice>
  </mc:AlternateContent>
  <bookViews>
    <workbookView xWindow="-120" yWindow="-120" windowWidth="20730" windowHeight="11160" tabRatio="850"/>
  </bookViews>
  <sheets>
    <sheet name="3-1-1" sheetId="1" r:id="rId1"/>
    <sheet name="3-1-2" sheetId="44" r:id="rId2"/>
    <sheet name="3-2-1" sheetId="3" r:id="rId3"/>
    <sheet name="3-2-2" sheetId="4" r:id="rId4"/>
    <sheet name="3-2-3" sheetId="5" r:id="rId5"/>
    <sheet name="3-2-4" sheetId="6" r:id="rId6"/>
    <sheet name="3-2-5" sheetId="7" r:id="rId7"/>
    <sheet name="3-2-6" sheetId="8" r:id="rId8"/>
    <sheet name="3-2-7" sheetId="9" r:id="rId9"/>
    <sheet name="3-2-8" sheetId="10" r:id="rId10"/>
    <sheet name="3-2-9" sheetId="11" r:id="rId11"/>
    <sheet name="3-2-10" sheetId="12" r:id="rId12"/>
    <sheet name="3-2-11" sheetId="13" r:id="rId13"/>
    <sheet name="3-2-12" sheetId="14" r:id="rId14"/>
    <sheet name="3-2-13" sheetId="45" r:id="rId15"/>
    <sheet name="3-2-14" sheetId="16" r:id="rId16"/>
    <sheet name="3-2-15" sheetId="17" r:id="rId17"/>
    <sheet name="3-2-16" sheetId="18" r:id="rId18"/>
    <sheet name="3-2-17" sheetId="19" r:id="rId19"/>
    <sheet name="3-2-18" sheetId="20" r:id="rId20"/>
    <sheet name="3-2-19" sheetId="21" r:id="rId21"/>
    <sheet name="3-2-20" sheetId="22" r:id="rId22"/>
    <sheet name="3-2-21" sheetId="23" r:id="rId23"/>
    <sheet name="3-2-22" sheetId="24" r:id="rId24"/>
    <sheet name="3-2-23" sheetId="25" r:id="rId25"/>
    <sheet name="3-2-24" sheetId="26" r:id="rId26"/>
    <sheet name="3-2-25" sheetId="27" r:id="rId27"/>
    <sheet name="3-2-26" sheetId="28" r:id="rId28"/>
    <sheet name="3-2-27" sheetId="29" r:id="rId29"/>
    <sheet name="3-3-1" sheetId="32" r:id="rId30"/>
    <sheet name="3-3-2" sheetId="33" r:id="rId31"/>
    <sheet name="3-3-3" sheetId="34" r:id="rId32"/>
    <sheet name="3-3-4" sheetId="35" r:id="rId33"/>
    <sheet name="3-3-5" sheetId="36" r:id="rId34"/>
    <sheet name="3-3-6" sheetId="37" r:id="rId35"/>
    <sheet name="3-3-7" sheetId="38" r:id="rId36"/>
    <sheet name="3-3-8" sheetId="39" r:id="rId37"/>
    <sheet name="3-3-9" sheetId="40" r:id="rId38"/>
    <sheet name="3-3-10" sheetId="41" r:id="rId39"/>
    <sheet name="3-3-11" sheetId="42" r:id="rId40"/>
    <sheet name="3-3-12" sheetId="43" r:id="rId41"/>
  </sheets>
  <definedNames>
    <definedName name="_xlnm.Print_Area" localSheetId="0">'3-1-1'!$A$1:$G$16</definedName>
    <definedName name="_xlnm.Print_Area" localSheetId="1">'3-1-2'!$A$1:$U$46</definedName>
    <definedName name="_xlnm.Print_Area" localSheetId="2">'3-2-1'!$A$1:$G$30</definedName>
    <definedName name="_xlnm.Print_Area" localSheetId="11">'3-2-10'!$A$1:$K$23</definedName>
    <definedName name="_xlnm.Print_Area" localSheetId="12">'3-2-11'!$A$1:$K$19</definedName>
    <definedName name="_xlnm.Print_Area" localSheetId="13">'3-2-12'!$A$1:$K$23</definedName>
    <definedName name="_xlnm.Print_Area" localSheetId="14">'3-2-13'!$A$1:$U$32</definedName>
    <definedName name="_xlnm.Print_Area" localSheetId="15">'3-2-14'!$A$1:$K$16</definedName>
    <definedName name="_xlnm.Print_Area" localSheetId="16">'3-2-15'!$A$1:$K$22</definedName>
    <definedName name="_xlnm.Print_Area" localSheetId="17">'3-2-16'!$A$1:$K$25</definedName>
    <definedName name="_xlnm.Print_Area" localSheetId="18">'3-2-17'!$A$1:$U$20</definedName>
    <definedName name="_xlnm.Print_Area" localSheetId="19">'3-2-18'!$A$1:$K$21</definedName>
    <definedName name="_xlnm.Print_Area" localSheetId="20">'3-2-19'!$A$1:$K$19</definedName>
    <definedName name="_xlnm.Print_Area" localSheetId="3">'3-2-2'!$A$1:$N$20</definedName>
    <definedName name="_xlnm.Print_Area" localSheetId="21">'3-2-20'!$A$1:$K$22</definedName>
    <definedName name="_xlnm.Print_Area" localSheetId="22">'3-2-21'!$A$1:$U$25</definedName>
    <definedName name="_xlnm.Print_Area" localSheetId="23">'3-2-22'!$A$1:$K$26</definedName>
    <definedName name="_xlnm.Print_Area" localSheetId="24">'3-2-23'!$A$1:$K$25</definedName>
    <definedName name="_xlnm.Print_Area" localSheetId="25">'3-2-24'!$A$1:$U$20</definedName>
    <definedName name="_xlnm.Print_Area" localSheetId="26">'3-2-25'!$A$1:$K$23</definedName>
    <definedName name="_xlnm.Print_Area" localSheetId="27">'3-2-26'!$A$1:$K$18</definedName>
    <definedName name="_xlnm.Print_Area" localSheetId="28">'3-2-27'!$A$1:$K$22</definedName>
    <definedName name="_xlnm.Print_Area" localSheetId="4">'3-2-3'!$A$1:$E$34</definedName>
    <definedName name="_xlnm.Print_Area" localSheetId="5">'3-2-4'!$A$1:$P$17</definedName>
    <definedName name="_xlnm.Print_Area" localSheetId="6">'3-2-5'!$A$1:$S$76</definedName>
    <definedName name="_xlnm.Print_Area" localSheetId="7">'3-2-6'!$A$1:$K$27</definedName>
    <definedName name="_xlnm.Print_Area" localSheetId="8">'3-2-7'!$A$1:$M$34</definedName>
    <definedName name="_xlnm.Print_Area" localSheetId="9">'3-2-8'!$A$1:$K$27</definedName>
    <definedName name="_xlnm.Print_Area" localSheetId="10">'3-2-9'!$A$1:$U$21</definedName>
    <definedName name="_xlnm.Print_Area" localSheetId="29">'3-3-1'!$B$1:$H$22</definedName>
    <definedName name="_xlnm.Print_Area" localSheetId="38">'3-3-10'!$A$1:$Q$12</definedName>
    <definedName name="_xlnm.Print_Area" localSheetId="39">'3-3-11'!$A$1:$P$20</definedName>
    <definedName name="_xlnm.Print_Area" localSheetId="40">'3-3-12'!$A$1:$G$9</definedName>
    <definedName name="_xlnm.Print_Area" localSheetId="30">'3-3-2'!$A$1:$Q$23</definedName>
    <definedName name="_xlnm.Print_Area" localSheetId="31">'3-3-3'!$A$1:$Q$21</definedName>
    <definedName name="_xlnm.Print_Area" localSheetId="32">'3-3-4'!$A$1:$Q$17</definedName>
    <definedName name="_xlnm.Print_Area" localSheetId="33">'3-3-5'!$A$1:$Q$38</definedName>
    <definedName name="_xlnm.Print_Area" localSheetId="34">'3-3-6'!$A$1:$Q$11</definedName>
    <definedName name="_xlnm.Print_Area" localSheetId="35">'3-3-7'!$A$1:$Q$13</definedName>
    <definedName name="_xlnm.Print_Area" localSheetId="36">'3-3-8'!$A$1:$Q$22</definedName>
    <definedName name="_xlnm.Print_Area" localSheetId="37">'3-3-9'!$A$1:$Q$16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1" i="45" l="1"/>
  <c r="M31" i="45"/>
  <c r="K31" i="45"/>
  <c r="I31" i="45"/>
  <c r="C31" i="45"/>
  <c r="U30" i="45"/>
  <c r="S30" i="45"/>
  <c r="I30" i="45"/>
  <c r="G30" i="45"/>
  <c r="U29" i="45"/>
  <c r="I29" i="45"/>
  <c r="C29" i="45"/>
  <c r="U28" i="45"/>
  <c r="O28" i="45"/>
  <c r="M28" i="45"/>
  <c r="I28" i="45"/>
  <c r="C28" i="45"/>
  <c r="U27" i="45"/>
  <c r="S27" i="45"/>
  <c r="I27" i="45"/>
  <c r="G27" i="45"/>
  <c r="U26" i="45"/>
  <c r="I26" i="45"/>
  <c r="C26" i="45"/>
  <c r="U25" i="45"/>
  <c r="M25" i="45"/>
  <c r="I25" i="45"/>
  <c r="C25" i="45"/>
  <c r="U24" i="45"/>
  <c r="S24" i="45"/>
  <c r="I24" i="45"/>
  <c r="G24" i="45"/>
  <c r="U23" i="45"/>
  <c r="I23" i="45"/>
  <c r="E23" i="45"/>
  <c r="C23" i="45"/>
  <c r="U22" i="45"/>
  <c r="M22" i="45"/>
  <c r="K22" i="45"/>
  <c r="I22" i="45"/>
  <c r="C22" i="45"/>
  <c r="U21" i="45"/>
  <c r="S21" i="45"/>
  <c r="I21" i="45"/>
  <c r="G21" i="45"/>
  <c r="U20" i="45"/>
  <c r="I20" i="45"/>
  <c r="E20" i="45"/>
  <c r="C20" i="45"/>
  <c r="U19" i="45"/>
  <c r="O19" i="45"/>
  <c r="M19" i="45"/>
  <c r="I19" i="45"/>
  <c r="C19" i="45"/>
  <c r="U18" i="45"/>
  <c r="S18" i="45"/>
  <c r="I18" i="45"/>
  <c r="G18" i="45"/>
  <c r="U17" i="45"/>
  <c r="I17" i="45"/>
  <c r="C17" i="45"/>
  <c r="U16" i="45"/>
  <c r="M16" i="45"/>
  <c r="I16" i="45"/>
  <c r="C16" i="45"/>
  <c r="U15" i="45"/>
  <c r="S15" i="45"/>
  <c r="I15" i="45"/>
  <c r="G15" i="45"/>
  <c r="U14" i="45"/>
  <c r="I14" i="45"/>
  <c r="E14" i="45"/>
  <c r="C14" i="45"/>
  <c r="U13" i="45"/>
  <c r="M13" i="45"/>
  <c r="K13" i="45"/>
  <c r="I13" i="45"/>
  <c r="C13" i="45"/>
  <c r="U12" i="45"/>
  <c r="S12" i="45"/>
  <c r="I12" i="45"/>
  <c r="G12" i="45"/>
  <c r="U11" i="45"/>
  <c r="I11" i="45"/>
  <c r="E11" i="45"/>
  <c r="C11" i="45"/>
  <c r="U10" i="45"/>
  <c r="O10" i="45"/>
  <c r="M10" i="45"/>
  <c r="I10" i="45"/>
  <c r="C10" i="45"/>
  <c r="U9" i="45"/>
  <c r="U4" i="45" s="1"/>
  <c r="S9" i="45"/>
  <c r="I9" i="45"/>
  <c r="G9" i="45"/>
  <c r="U8" i="45"/>
  <c r="I8" i="45"/>
  <c r="C8" i="45"/>
  <c r="U7" i="45"/>
  <c r="M7" i="45"/>
  <c r="I7" i="45"/>
  <c r="C7" i="45"/>
  <c r="U6" i="45"/>
  <c r="S6" i="45"/>
  <c r="I6" i="45"/>
  <c r="G6" i="45"/>
  <c r="U5" i="45"/>
  <c r="M5" i="45"/>
  <c r="I5" i="45"/>
  <c r="C5" i="45"/>
  <c r="T4" i="45"/>
  <c r="R4" i="45"/>
  <c r="S31" i="45" s="1"/>
  <c r="P4" i="45"/>
  <c r="N4" i="45"/>
  <c r="O30" i="45" s="1"/>
  <c r="L4" i="45"/>
  <c r="M29" i="45" s="1"/>
  <c r="J4" i="45"/>
  <c r="H4" i="45"/>
  <c r="F4" i="45"/>
  <c r="G31" i="45" s="1"/>
  <c r="D4" i="45"/>
  <c r="B4" i="45"/>
  <c r="C30" i="45" s="1"/>
  <c r="O29" i="45" l="1"/>
  <c r="O7" i="45"/>
  <c r="O11" i="45"/>
  <c r="O16" i="45"/>
  <c r="O20" i="45"/>
  <c r="O25" i="45"/>
  <c r="O5" i="45"/>
  <c r="O14" i="45"/>
  <c r="O23" i="45"/>
  <c r="O31" i="45"/>
  <c r="O8" i="45"/>
  <c r="O13" i="45"/>
  <c r="O17" i="45"/>
  <c r="O22" i="45"/>
  <c r="O26" i="45"/>
  <c r="Q30" i="45"/>
  <c r="Q27" i="45"/>
  <c r="Q24" i="45"/>
  <c r="Q21" i="45"/>
  <c r="Q18" i="45"/>
  <c r="Q15" i="45"/>
  <c r="Q12" i="45"/>
  <c r="Q9" i="45"/>
  <c r="Q6" i="45"/>
  <c r="Q31" i="45"/>
  <c r="Q28" i="45"/>
  <c r="Q25" i="45"/>
  <c r="Q22" i="45"/>
  <c r="Q19" i="45"/>
  <c r="Q16" i="45"/>
  <c r="Q13" i="45"/>
  <c r="Q10" i="45"/>
  <c r="Q7" i="45"/>
  <c r="Q8" i="45"/>
  <c r="Q17" i="45"/>
  <c r="Q26" i="45"/>
  <c r="K29" i="45"/>
  <c r="K26" i="45"/>
  <c r="K23" i="45"/>
  <c r="K20" i="45"/>
  <c r="K17" i="45"/>
  <c r="K14" i="45"/>
  <c r="K11" i="45"/>
  <c r="K8" i="45"/>
  <c r="K5" i="45"/>
  <c r="K18" i="45"/>
  <c r="K15" i="45"/>
  <c r="K12" i="45"/>
  <c r="K9" i="45"/>
  <c r="K6" i="45"/>
  <c r="K30" i="45"/>
  <c r="K27" i="45"/>
  <c r="K24" i="45"/>
  <c r="K21" i="45"/>
  <c r="Q5" i="45"/>
  <c r="K10" i="45"/>
  <c r="Q14" i="45"/>
  <c r="K19" i="45"/>
  <c r="Q23" i="45"/>
  <c r="K28" i="45"/>
  <c r="E30" i="45"/>
  <c r="E27" i="45"/>
  <c r="E24" i="45"/>
  <c r="E21" i="45"/>
  <c r="E18" i="45"/>
  <c r="E15" i="45"/>
  <c r="E12" i="45"/>
  <c r="E9" i="45"/>
  <c r="E6" i="45"/>
  <c r="E31" i="45"/>
  <c r="E28" i="45"/>
  <c r="E25" i="45"/>
  <c r="E22" i="45"/>
  <c r="E19" i="45"/>
  <c r="E16" i="45"/>
  <c r="E13" i="45"/>
  <c r="E10" i="45"/>
  <c r="E7" i="45"/>
  <c r="E29" i="45"/>
  <c r="E8" i="45"/>
  <c r="I4" i="45"/>
  <c r="E17" i="45"/>
  <c r="E26" i="45"/>
  <c r="Q29" i="45"/>
  <c r="E5" i="45"/>
  <c r="K7" i="45"/>
  <c r="Q11" i="45"/>
  <c r="K16" i="45"/>
  <c r="Q20" i="45"/>
  <c r="K25" i="45"/>
  <c r="G8" i="45"/>
  <c r="G20" i="45"/>
  <c r="S20" i="45"/>
  <c r="G23" i="45"/>
  <c r="S23" i="45"/>
  <c r="G26" i="45"/>
  <c r="S26" i="45"/>
  <c r="G29" i="45"/>
  <c r="S29" i="45"/>
  <c r="S5" i="45"/>
  <c r="S8" i="45"/>
  <c r="G11" i="45"/>
  <c r="G14" i="45"/>
  <c r="G5" i="45"/>
  <c r="S11" i="45"/>
  <c r="S14" i="45"/>
  <c r="G17" i="45"/>
  <c r="S17" i="45"/>
  <c r="M6" i="45"/>
  <c r="M9" i="45"/>
  <c r="M12" i="45"/>
  <c r="M15" i="45"/>
  <c r="M18" i="45"/>
  <c r="M21" i="45"/>
  <c r="M24" i="45"/>
  <c r="M27" i="45"/>
  <c r="M30" i="45"/>
  <c r="C6" i="45"/>
  <c r="O6" i="45"/>
  <c r="G7" i="45"/>
  <c r="S7" i="45"/>
  <c r="C9" i="45"/>
  <c r="O9" i="45"/>
  <c r="G10" i="45"/>
  <c r="S10" i="45"/>
  <c r="C12" i="45"/>
  <c r="C4" i="45" s="1"/>
  <c r="O12" i="45"/>
  <c r="G13" i="45"/>
  <c r="S13" i="45"/>
  <c r="C15" i="45"/>
  <c r="O15" i="45"/>
  <c r="G16" i="45"/>
  <c r="S16" i="45"/>
  <c r="C18" i="45"/>
  <c r="O18" i="45"/>
  <c r="G19" i="45"/>
  <c r="S19" i="45"/>
  <c r="C21" i="45"/>
  <c r="O21" i="45"/>
  <c r="G22" i="45"/>
  <c r="S22" i="45"/>
  <c r="C24" i="45"/>
  <c r="O24" i="45"/>
  <c r="G25" i="45"/>
  <c r="S25" i="45"/>
  <c r="C27" i="45"/>
  <c r="O27" i="45"/>
  <c r="G28" i="45"/>
  <c r="S28" i="45"/>
  <c r="M8" i="45"/>
  <c r="M4" i="45" s="1"/>
  <c r="M11" i="45"/>
  <c r="M14" i="45"/>
  <c r="M17" i="45"/>
  <c r="M20" i="45"/>
  <c r="M23" i="45"/>
  <c r="M26" i="45"/>
  <c r="P33" i="36"/>
  <c r="O33" i="36"/>
  <c r="J33" i="36"/>
  <c r="I33" i="36"/>
  <c r="D33" i="36"/>
  <c r="C33" i="36"/>
  <c r="P29" i="36"/>
  <c r="O29" i="36"/>
  <c r="J29" i="36"/>
  <c r="I29" i="36"/>
  <c r="D29" i="36"/>
  <c r="C29" i="36"/>
  <c r="P25" i="36"/>
  <c r="O25" i="36"/>
  <c r="J25" i="36"/>
  <c r="I25" i="36"/>
  <c r="D25" i="36"/>
  <c r="C25" i="36"/>
  <c r="P21" i="36"/>
  <c r="O21" i="36"/>
  <c r="J21" i="36"/>
  <c r="I21" i="36"/>
  <c r="D21" i="36"/>
  <c r="C21" i="36"/>
  <c r="P17" i="36"/>
  <c r="O17" i="36"/>
  <c r="J17" i="36"/>
  <c r="I17" i="36"/>
  <c r="D17" i="36"/>
  <c r="C17" i="36"/>
  <c r="P13" i="36"/>
  <c r="O13" i="36"/>
  <c r="J13" i="36"/>
  <c r="I13" i="36"/>
  <c r="D13" i="36"/>
  <c r="C13" i="36"/>
  <c r="P9" i="36"/>
  <c r="O9" i="36"/>
  <c r="J9" i="36"/>
  <c r="I9" i="36"/>
  <c r="D9" i="36"/>
  <c r="C9" i="36"/>
  <c r="Q4" i="36"/>
  <c r="Q35" i="36" s="1"/>
  <c r="P4" i="36"/>
  <c r="P35" i="36" s="1"/>
  <c r="O4" i="36"/>
  <c r="O35" i="36" s="1"/>
  <c r="N4" i="36"/>
  <c r="N33" i="36" s="1"/>
  <c r="M4" i="36"/>
  <c r="M15" i="36" s="1"/>
  <c r="L4" i="36"/>
  <c r="L19" i="36" s="1"/>
  <c r="K4" i="36"/>
  <c r="K35" i="36" s="1"/>
  <c r="J4" i="36"/>
  <c r="J35" i="36" s="1"/>
  <c r="I4" i="36"/>
  <c r="I35" i="36" s="1"/>
  <c r="H4" i="36"/>
  <c r="H33" i="36" s="1"/>
  <c r="G4" i="36"/>
  <c r="G27" i="36" s="1"/>
  <c r="F4" i="36"/>
  <c r="F35" i="36" s="1"/>
  <c r="E4" i="36"/>
  <c r="E35" i="36" s="1"/>
  <c r="D4" i="36"/>
  <c r="D35" i="36" s="1"/>
  <c r="C4" i="36"/>
  <c r="C35" i="36" s="1"/>
  <c r="C46" i="9"/>
  <c r="C47" i="9"/>
  <c r="C48" i="9"/>
  <c r="C49" i="9"/>
  <c r="C50" i="9"/>
  <c r="C45" i="9"/>
  <c r="E45" i="9"/>
  <c r="E46" i="9"/>
  <c r="E47" i="9"/>
  <c r="E48" i="9"/>
  <c r="E49" i="9"/>
  <c r="E50" i="9"/>
  <c r="I45" i="9"/>
  <c r="I46" i="9"/>
  <c r="I47" i="9"/>
  <c r="I48" i="9"/>
  <c r="I49" i="9"/>
  <c r="I50" i="9"/>
  <c r="G45" i="9"/>
  <c r="G46" i="9"/>
  <c r="G47" i="9"/>
  <c r="G48" i="9"/>
  <c r="G49" i="9"/>
  <c r="G50" i="9"/>
  <c r="K21" i="27"/>
  <c r="H21" i="27"/>
  <c r="I21" i="27" s="1"/>
  <c r="K20" i="27"/>
  <c r="H20" i="27"/>
  <c r="I20" i="27" s="1"/>
  <c r="K19" i="27"/>
  <c r="H19" i="27"/>
  <c r="I19" i="27" s="1"/>
  <c r="K18" i="27"/>
  <c r="H18" i="27"/>
  <c r="I18" i="27" s="1"/>
  <c r="K17" i="27"/>
  <c r="K14" i="27" s="1"/>
  <c r="H17" i="27"/>
  <c r="I17" i="27" s="1"/>
  <c r="K16" i="27"/>
  <c r="E16" i="27"/>
  <c r="I15" i="27"/>
  <c r="E15" i="27"/>
  <c r="C15" i="27"/>
  <c r="J14" i="27"/>
  <c r="K15" i="27" s="1"/>
  <c r="H14" i="27"/>
  <c r="I16" i="27" s="1"/>
  <c r="F14" i="27"/>
  <c r="G15" i="27" s="1"/>
  <c r="D14" i="27"/>
  <c r="E21" i="27" s="1"/>
  <c r="B14" i="27"/>
  <c r="C16" i="27" s="1"/>
  <c r="I11" i="27"/>
  <c r="C11" i="27"/>
  <c r="I10" i="27"/>
  <c r="C10" i="27"/>
  <c r="K9" i="27"/>
  <c r="I9" i="27"/>
  <c r="E9" i="27"/>
  <c r="K8" i="27"/>
  <c r="I8" i="27"/>
  <c r="C8" i="27"/>
  <c r="I7" i="27"/>
  <c r="I4" i="27" s="1"/>
  <c r="C7" i="27"/>
  <c r="K6" i="27"/>
  <c r="E6" i="27"/>
  <c r="C6" i="27"/>
  <c r="I5" i="27"/>
  <c r="E5" i="27"/>
  <c r="C5" i="27"/>
  <c r="J4" i="27"/>
  <c r="K10" i="27" s="1"/>
  <c r="H4" i="27"/>
  <c r="I6" i="27" s="1"/>
  <c r="F4" i="27"/>
  <c r="G8" i="27" s="1"/>
  <c r="D4" i="27"/>
  <c r="E7" i="27" s="1"/>
  <c r="B4" i="27"/>
  <c r="C9" i="27" s="1"/>
  <c r="C4" i="27" s="1"/>
  <c r="K9" i="21"/>
  <c r="B21" i="20"/>
  <c r="C21" i="20" s="1"/>
  <c r="B11" i="20"/>
  <c r="O4" i="45" l="1"/>
  <c r="E4" i="45"/>
  <c r="G4" i="45"/>
  <c r="Q4" i="45"/>
  <c r="S4" i="45"/>
  <c r="K4" i="45"/>
  <c r="L11" i="36"/>
  <c r="L15" i="36"/>
  <c r="F19" i="36"/>
  <c r="L27" i="36"/>
  <c r="F31" i="36"/>
  <c r="L31" i="36"/>
  <c r="L35" i="36"/>
  <c r="G7" i="36"/>
  <c r="G23" i="36"/>
  <c r="M27" i="36"/>
  <c r="M35" i="36"/>
  <c r="H7" i="36"/>
  <c r="N7" i="36"/>
  <c r="E9" i="36"/>
  <c r="K9" i="36"/>
  <c r="Q9" i="36"/>
  <c r="H11" i="36"/>
  <c r="N11" i="36"/>
  <c r="E13" i="36"/>
  <c r="K13" i="36"/>
  <c r="Q13" i="36"/>
  <c r="H15" i="36"/>
  <c r="N15" i="36"/>
  <c r="E17" i="36"/>
  <c r="K17" i="36"/>
  <c r="Q17" i="36"/>
  <c r="H19" i="36"/>
  <c r="N19" i="36"/>
  <c r="E21" i="36"/>
  <c r="K21" i="36"/>
  <c r="Q21" i="36"/>
  <c r="H23" i="36"/>
  <c r="N23" i="36"/>
  <c r="E25" i="36"/>
  <c r="K25" i="36"/>
  <c r="Q25" i="36"/>
  <c r="H27" i="36"/>
  <c r="N27" i="36"/>
  <c r="E29" i="36"/>
  <c r="K29" i="36"/>
  <c r="Q29" i="36"/>
  <c r="H31" i="36"/>
  <c r="N31" i="36"/>
  <c r="E33" i="36"/>
  <c r="K33" i="36"/>
  <c r="Q33" i="36"/>
  <c r="H35" i="36"/>
  <c r="N35" i="36"/>
  <c r="L7" i="36"/>
  <c r="F11" i="36"/>
  <c r="F15" i="36"/>
  <c r="L23" i="36"/>
  <c r="M11" i="36"/>
  <c r="G15" i="36"/>
  <c r="G31" i="36"/>
  <c r="M31" i="36"/>
  <c r="G35" i="36"/>
  <c r="C7" i="36"/>
  <c r="I7" i="36"/>
  <c r="O7" i="36"/>
  <c r="O5" i="36" s="1"/>
  <c r="F9" i="36"/>
  <c r="L9" i="36"/>
  <c r="C11" i="36"/>
  <c r="I11" i="36"/>
  <c r="O11" i="36"/>
  <c r="F13" i="36"/>
  <c r="L13" i="36"/>
  <c r="C15" i="36"/>
  <c r="I15" i="36"/>
  <c r="O15" i="36"/>
  <c r="F17" i="36"/>
  <c r="L17" i="36"/>
  <c r="C19" i="36"/>
  <c r="I19" i="36"/>
  <c r="O19" i="36"/>
  <c r="F21" i="36"/>
  <c r="L21" i="36"/>
  <c r="C23" i="36"/>
  <c r="I23" i="36"/>
  <c r="O23" i="36"/>
  <c r="F25" i="36"/>
  <c r="L25" i="36"/>
  <c r="C27" i="36"/>
  <c r="I27" i="36"/>
  <c r="O27" i="36"/>
  <c r="F29" i="36"/>
  <c r="L29" i="36"/>
  <c r="C31" i="36"/>
  <c r="I31" i="36"/>
  <c r="O31" i="36"/>
  <c r="F33" i="36"/>
  <c r="L33" i="36"/>
  <c r="F23" i="36"/>
  <c r="F27" i="36"/>
  <c r="M19" i="36"/>
  <c r="M23" i="36"/>
  <c r="D7" i="36"/>
  <c r="J7" i="36"/>
  <c r="P7" i="36"/>
  <c r="G9" i="36"/>
  <c r="M9" i="36"/>
  <c r="D11" i="36"/>
  <c r="J11" i="36"/>
  <c r="P11" i="36"/>
  <c r="G13" i="36"/>
  <c r="M13" i="36"/>
  <c r="D15" i="36"/>
  <c r="J15" i="36"/>
  <c r="P15" i="36"/>
  <c r="G17" i="36"/>
  <c r="M17" i="36"/>
  <c r="D19" i="36"/>
  <c r="J19" i="36"/>
  <c r="P19" i="36"/>
  <c r="G21" i="36"/>
  <c r="M21" i="36"/>
  <c r="D23" i="36"/>
  <c r="J23" i="36"/>
  <c r="P23" i="36"/>
  <c r="G25" i="36"/>
  <c r="M25" i="36"/>
  <c r="D27" i="36"/>
  <c r="J27" i="36"/>
  <c r="P27" i="36"/>
  <c r="G29" i="36"/>
  <c r="M29" i="36"/>
  <c r="D31" i="36"/>
  <c r="J31" i="36"/>
  <c r="P31" i="36"/>
  <c r="G33" i="36"/>
  <c r="M33" i="36"/>
  <c r="F7" i="36"/>
  <c r="F5" i="36" s="1"/>
  <c r="M7" i="36"/>
  <c r="G11" i="36"/>
  <c r="G19" i="36"/>
  <c r="E7" i="36"/>
  <c r="K7" i="36"/>
  <c r="Q7" i="36"/>
  <c r="Q5" i="36" s="1"/>
  <c r="H9" i="36"/>
  <c r="N9" i="36"/>
  <c r="E11" i="36"/>
  <c r="K11" i="36"/>
  <c r="Q11" i="36"/>
  <c r="H13" i="36"/>
  <c r="N13" i="36"/>
  <c r="E15" i="36"/>
  <c r="K15" i="36"/>
  <c r="Q15" i="36"/>
  <c r="H17" i="36"/>
  <c r="N17" i="36"/>
  <c r="E19" i="36"/>
  <c r="K19" i="36"/>
  <c r="Q19" i="36"/>
  <c r="H21" i="36"/>
  <c r="N21" i="36"/>
  <c r="E23" i="36"/>
  <c r="K23" i="36"/>
  <c r="Q23" i="36"/>
  <c r="H25" i="36"/>
  <c r="N25" i="36"/>
  <c r="E27" i="36"/>
  <c r="K27" i="36"/>
  <c r="Q27" i="36"/>
  <c r="H29" i="36"/>
  <c r="N29" i="36"/>
  <c r="E31" i="36"/>
  <c r="K31" i="36"/>
  <c r="Q31" i="36"/>
  <c r="I14" i="27"/>
  <c r="E11" i="27"/>
  <c r="C17" i="27"/>
  <c r="C18" i="27"/>
  <c r="C19" i="27"/>
  <c r="C20" i="27"/>
  <c r="C21" i="27"/>
  <c r="G5" i="27"/>
  <c r="K7" i="27"/>
  <c r="E10" i="27"/>
  <c r="G11" i="27"/>
  <c r="E17" i="27"/>
  <c r="E18" i="27"/>
  <c r="E19" i="27"/>
  <c r="E20" i="27"/>
  <c r="G7" i="27"/>
  <c r="G6" i="27"/>
  <c r="G10" i="27"/>
  <c r="G17" i="27"/>
  <c r="G14" i="27" s="1"/>
  <c r="G18" i="27"/>
  <c r="G19" i="27"/>
  <c r="G20" i="27"/>
  <c r="K5" i="27"/>
  <c r="E8" i="27"/>
  <c r="E4" i="27" s="1"/>
  <c r="G9" i="27"/>
  <c r="K11" i="27"/>
  <c r="G16" i="27"/>
  <c r="G21" i="27"/>
  <c r="H20" i="32"/>
  <c r="H16" i="32" s="1"/>
  <c r="G20" i="32"/>
  <c r="F20" i="32"/>
  <c r="E20" i="32"/>
  <c r="D20" i="32"/>
  <c r="H18" i="32"/>
  <c r="G18" i="32"/>
  <c r="G16" i="32" s="1"/>
  <c r="F18" i="32"/>
  <c r="E18" i="32"/>
  <c r="E16" i="32" s="1"/>
  <c r="D18" i="32"/>
  <c r="F16" i="32"/>
  <c r="D16" i="32"/>
  <c r="H14" i="32"/>
  <c r="G14" i="32"/>
  <c r="F14" i="32"/>
  <c r="E14" i="32"/>
  <c r="D14" i="32"/>
  <c r="H12" i="32"/>
  <c r="H10" i="32" s="1"/>
  <c r="G12" i="32"/>
  <c r="F12" i="32"/>
  <c r="F10" i="32" s="1"/>
  <c r="E12" i="32"/>
  <c r="E10" i="32" s="1"/>
  <c r="D12" i="32"/>
  <c r="D10" i="32" s="1"/>
  <c r="G10" i="32"/>
  <c r="H8" i="32"/>
  <c r="D8" i="32"/>
  <c r="H6" i="32"/>
  <c r="H4" i="32" s="1"/>
  <c r="G6" i="32"/>
  <c r="H3" i="32"/>
  <c r="G3" i="32"/>
  <c r="G8" i="32" s="1"/>
  <c r="F3" i="32"/>
  <c r="F6" i="32" s="1"/>
  <c r="E3" i="32"/>
  <c r="E6" i="32" s="1"/>
  <c r="D3" i="32"/>
  <c r="D6" i="32" s="1"/>
  <c r="D4" i="32" s="1"/>
  <c r="H5" i="36" l="1"/>
  <c r="K5" i="36"/>
  <c r="E5" i="36"/>
  <c r="C5" i="36"/>
  <c r="P5" i="36"/>
  <c r="I5" i="36"/>
  <c r="J5" i="36"/>
  <c r="G5" i="36"/>
  <c r="M5" i="36"/>
  <c r="D5" i="36"/>
  <c r="L5" i="36"/>
  <c r="N5" i="36"/>
  <c r="E14" i="27"/>
  <c r="G4" i="27"/>
  <c r="K4" i="27"/>
  <c r="C14" i="27"/>
  <c r="F4" i="32"/>
  <c r="E4" i="32"/>
  <c r="G4" i="32"/>
  <c r="E8" i="32"/>
  <c r="F8" i="32"/>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 i="9"/>
  <c r="H13" i="6" l="1"/>
  <c r="H12" i="6"/>
  <c r="H11" i="6"/>
  <c r="H10" i="6"/>
  <c r="H9" i="6"/>
  <c r="H8" i="6"/>
  <c r="H7" i="6"/>
  <c r="H6" i="6"/>
  <c r="H14" i="6" l="1"/>
  <c r="H15" i="6"/>
  <c r="G8" i="43"/>
  <c r="F8" i="43"/>
  <c r="E8" i="43"/>
  <c r="D8" i="43"/>
  <c r="D4" i="43" s="1"/>
  <c r="C8" i="43"/>
  <c r="G6" i="43"/>
  <c r="G4" i="43" s="1"/>
  <c r="F6" i="43"/>
  <c r="E6" i="43"/>
  <c r="D6" i="43"/>
  <c r="C6" i="43"/>
  <c r="P4" i="42"/>
  <c r="O4" i="42"/>
  <c r="N4" i="42"/>
  <c r="M4" i="42"/>
  <c r="L4" i="42"/>
  <c r="K4" i="42"/>
  <c r="J4" i="42"/>
  <c r="I4" i="42"/>
  <c r="H4" i="42"/>
  <c r="G4" i="42"/>
  <c r="F4" i="42"/>
  <c r="E4" i="42"/>
  <c r="D4" i="42"/>
  <c r="C4" i="42"/>
  <c r="B4" i="42"/>
  <c r="L7" i="41"/>
  <c r="Q4" i="41"/>
  <c r="Q11" i="41" s="1"/>
  <c r="P4" i="41"/>
  <c r="P9" i="41" s="1"/>
  <c r="O4" i="41"/>
  <c r="O7" i="41" s="1"/>
  <c r="N4" i="41"/>
  <c r="N7" i="41" s="1"/>
  <c r="M4" i="41"/>
  <c r="M11" i="41" s="1"/>
  <c r="L4" i="41"/>
  <c r="L9" i="41" s="1"/>
  <c r="K4" i="41"/>
  <c r="K7" i="41" s="1"/>
  <c r="J4" i="41"/>
  <c r="J11" i="41" s="1"/>
  <c r="I4" i="41"/>
  <c r="I11" i="41" s="1"/>
  <c r="H4" i="41"/>
  <c r="H9" i="41" s="1"/>
  <c r="G4" i="41"/>
  <c r="G7" i="41" s="1"/>
  <c r="F4" i="41"/>
  <c r="F7" i="41" s="1"/>
  <c r="E4" i="41"/>
  <c r="E11" i="41" s="1"/>
  <c r="D4" i="41"/>
  <c r="D9" i="41" s="1"/>
  <c r="C4" i="41"/>
  <c r="C7" i="41" s="1"/>
  <c r="Q4" i="40"/>
  <c r="Q15" i="40" s="1"/>
  <c r="P4" i="40"/>
  <c r="P13" i="40" s="1"/>
  <c r="O4" i="40"/>
  <c r="O11" i="40" s="1"/>
  <c r="N4" i="40"/>
  <c r="N9" i="40" s="1"/>
  <c r="M4" i="40"/>
  <c r="M15" i="40" s="1"/>
  <c r="L4" i="40"/>
  <c r="L13" i="40" s="1"/>
  <c r="K4" i="40"/>
  <c r="K11" i="40" s="1"/>
  <c r="J4" i="40"/>
  <c r="J9" i="40" s="1"/>
  <c r="I4" i="40"/>
  <c r="I15" i="40" s="1"/>
  <c r="H4" i="40"/>
  <c r="H13" i="40" s="1"/>
  <c r="G4" i="40"/>
  <c r="G11" i="40" s="1"/>
  <c r="F4" i="40"/>
  <c r="F9" i="40" s="1"/>
  <c r="E4" i="40"/>
  <c r="E15" i="40" s="1"/>
  <c r="D4" i="40"/>
  <c r="D13" i="40" s="1"/>
  <c r="C4" i="40"/>
  <c r="C11" i="40" s="1"/>
  <c r="Q4" i="39"/>
  <c r="Q21" i="39" s="1"/>
  <c r="P4" i="39"/>
  <c r="P19" i="39" s="1"/>
  <c r="O4" i="39"/>
  <c r="O17" i="39" s="1"/>
  <c r="N4" i="39"/>
  <c r="N15" i="39" s="1"/>
  <c r="M4" i="39"/>
  <c r="M21" i="39" s="1"/>
  <c r="L4" i="39"/>
  <c r="L19" i="39" s="1"/>
  <c r="K4" i="39"/>
  <c r="K17" i="39" s="1"/>
  <c r="J4" i="39"/>
  <c r="J15" i="39" s="1"/>
  <c r="I4" i="39"/>
  <c r="I21" i="39" s="1"/>
  <c r="H4" i="39"/>
  <c r="H19" i="39" s="1"/>
  <c r="G4" i="39"/>
  <c r="G17" i="39" s="1"/>
  <c r="F4" i="39"/>
  <c r="F15" i="39" s="1"/>
  <c r="E4" i="39"/>
  <c r="E21" i="39" s="1"/>
  <c r="D4" i="39"/>
  <c r="D19" i="39" s="1"/>
  <c r="C4" i="39"/>
  <c r="C17" i="39" s="1"/>
  <c r="Q4" i="38"/>
  <c r="Q11" i="38" s="1"/>
  <c r="P4" i="38"/>
  <c r="P9" i="38" s="1"/>
  <c r="O4" i="38"/>
  <c r="O7" i="38" s="1"/>
  <c r="N4" i="38"/>
  <c r="N7" i="38" s="1"/>
  <c r="M4" i="38"/>
  <c r="M11" i="38" s="1"/>
  <c r="L4" i="38"/>
  <c r="L9" i="38" s="1"/>
  <c r="K4" i="38"/>
  <c r="K7" i="38" s="1"/>
  <c r="J4" i="38"/>
  <c r="J7" i="38" s="1"/>
  <c r="I4" i="38"/>
  <c r="I11" i="38" s="1"/>
  <c r="H4" i="38"/>
  <c r="H9" i="38" s="1"/>
  <c r="G4" i="38"/>
  <c r="G7" i="38" s="1"/>
  <c r="F4" i="38"/>
  <c r="F11" i="38" s="1"/>
  <c r="E4" i="38"/>
  <c r="E11" i="38" s="1"/>
  <c r="D4" i="38"/>
  <c r="D9" i="38" s="1"/>
  <c r="C4" i="38"/>
  <c r="C7" i="38" s="1"/>
  <c r="Q4" i="37"/>
  <c r="Q7" i="37" s="1"/>
  <c r="P4" i="37"/>
  <c r="P11" i="37" s="1"/>
  <c r="O4" i="37"/>
  <c r="O11" i="37" s="1"/>
  <c r="N4" i="37"/>
  <c r="N9" i="37" s="1"/>
  <c r="M4" i="37"/>
  <c r="M7" i="37" s="1"/>
  <c r="L4" i="37"/>
  <c r="L11" i="37" s="1"/>
  <c r="K4" i="37"/>
  <c r="K11" i="37" s="1"/>
  <c r="J4" i="37"/>
  <c r="J7" i="37" s="1"/>
  <c r="I4" i="37"/>
  <c r="I7" i="37" s="1"/>
  <c r="H4" i="37"/>
  <c r="H11" i="37" s="1"/>
  <c r="G4" i="37"/>
  <c r="G11" i="37" s="1"/>
  <c r="F4" i="37"/>
  <c r="F7" i="37" s="1"/>
  <c r="E4" i="37"/>
  <c r="E7" i="37" s="1"/>
  <c r="D4" i="37"/>
  <c r="D11" i="37" s="1"/>
  <c r="C4" i="37"/>
  <c r="C11" i="37" s="1"/>
  <c r="J15" i="35"/>
  <c r="Q4" i="35"/>
  <c r="Q15" i="35" s="1"/>
  <c r="P4" i="35"/>
  <c r="P13" i="35" s="1"/>
  <c r="O4" i="35"/>
  <c r="O11" i="35" s="1"/>
  <c r="N4" i="35"/>
  <c r="N9" i="35" s="1"/>
  <c r="M4" i="35"/>
  <c r="M15" i="35" s="1"/>
  <c r="L4" i="35"/>
  <c r="L13" i="35" s="1"/>
  <c r="K4" i="35"/>
  <c r="K11" i="35" s="1"/>
  <c r="J4" i="35"/>
  <c r="J9" i="35" s="1"/>
  <c r="I4" i="35"/>
  <c r="I15" i="35" s="1"/>
  <c r="H4" i="35"/>
  <c r="H13" i="35" s="1"/>
  <c r="G4" i="35"/>
  <c r="G11" i="35" s="1"/>
  <c r="F4" i="35"/>
  <c r="F9" i="35" s="1"/>
  <c r="E4" i="35"/>
  <c r="E15" i="35" s="1"/>
  <c r="D4" i="35"/>
  <c r="D13" i="35" s="1"/>
  <c r="C4" i="35"/>
  <c r="C11" i="35" s="1"/>
  <c r="D7" i="34"/>
  <c r="Q4" i="34"/>
  <c r="Q19" i="34" s="1"/>
  <c r="P4" i="34"/>
  <c r="P17" i="34" s="1"/>
  <c r="O4" i="34"/>
  <c r="O15" i="34" s="1"/>
  <c r="N4" i="34"/>
  <c r="N13" i="34" s="1"/>
  <c r="M4" i="34"/>
  <c r="M19" i="34" s="1"/>
  <c r="L4" i="34"/>
  <c r="L17" i="34" s="1"/>
  <c r="K4" i="34"/>
  <c r="K15" i="34" s="1"/>
  <c r="J4" i="34"/>
  <c r="J13" i="34" s="1"/>
  <c r="I4" i="34"/>
  <c r="I19" i="34" s="1"/>
  <c r="H4" i="34"/>
  <c r="H17" i="34" s="1"/>
  <c r="G4" i="34"/>
  <c r="G15" i="34" s="1"/>
  <c r="F4" i="34"/>
  <c r="F13" i="34" s="1"/>
  <c r="E4" i="34"/>
  <c r="E19" i="34" s="1"/>
  <c r="D4" i="34"/>
  <c r="D17" i="34" s="1"/>
  <c r="C4" i="34"/>
  <c r="C15" i="34" s="1"/>
  <c r="O15" i="33"/>
  <c r="K7" i="33"/>
  <c r="Q4" i="33"/>
  <c r="Q21" i="33" s="1"/>
  <c r="P4" i="33"/>
  <c r="P19" i="33" s="1"/>
  <c r="O4" i="33"/>
  <c r="O17" i="33" s="1"/>
  <c r="N4" i="33"/>
  <c r="N15" i="33" s="1"/>
  <c r="M4" i="33"/>
  <c r="M21" i="33" s="1"/>
  <c r="L4" i="33"/>
  <c r="L19" i="33" s="1"/>
  <c r="K4" i="33"/>
  <c r="K17" i="33" s="1"/>
  <c r="J4" i="33"/>
  <c r="J15" i="33" s="1"/>
  <c r="I4" i="33"/>
  <c r="I21" i="33" s="1"/>
  <c r="H4" i="33"/>
  <c r="H19" i="33" s="1"/>
  <c r="G4" i="33"/>
  <c r="G17" i="33" s="1"/>
  <c r="F4" i="33"/>
  <c r="F15" i="33" s="1"/>
  <c r="E4" i="33"/>
  <c r="E21" i="33" s="1"/>
  <c r="D4" i="33"/>
  <c r="D19" i="33" s="1"/>
  <c r="C4" i="33"/>
  <c r="C17" i="33" s="1"/>
  <c r="C13" i="34" l="1"/>
  <c r="K9" i="35"/>
  <c r="O7" i="37"/>
  <c r="D7" i="38"/>
  <c r="P17" i="39"/>
  <c r="J15" i="40"/>
  <c r="Q9" i="41"/>
  <c r="O7" i="33"/>
  <c r="D17" i="33"/>
  <c r="D15" i="34"/>
  <c r="I13" i="35"/>
  <c r="H7" i="38"/>
  <c r="N15" i="40"/>
  <c r="H7" i="41"/>
  <c r="P9" i="33"/>
  <c r="P17" i="33"/>
  <c r="M17" i="34"/>
  <c r="J7" i="35"/>
  <c r="J13" i="35"/>
  <c r="Q9" i="38"/>
  <c r="P9" i="39"/>
  <c r="F13" i="33"/>
  <c r="F21" i="33"/>
  <c r="C9" i="35"/>
  <c r="N7" i="37"/>
  <c r="L17" i="39"/>
  <c r="P7" i="41"/>
  <c r="K7" i="39"/>
  <c r="F21" i="39"/>
  <c r="F13" i="39"/>
  <c r="J21" i="39"/>
  <c r="J7" i="40"/>
  <c r="L9" i="37"/>
  <c r="J13" i="39"/>
  <c r="O9" i="40"/>
  <c r="O9" i="37"/>
  <c r="O5" i="37" s="1"/>
  <c r="K15" i="39"/>
  <c r="E13" i="40"/>
  <c r="C4" i="43"/>
  <c r="J21" i="33"/>
  <c r="I17" i="34"/>
  <c r="I13" i="40"/>
  <c r="O13" i="34"/>
  <c r="K15" i="33"/>
  <c r="M9" i="34"/>
  <c r="Q17" i="34"/>
  <c r="F7" i="35"/>
  <c r="I9" i="38"/>
  <c r="D17" i="39"/>
  <c r="Q13" i="40"/>
  <c r="C9" i="37"/>
  <c r="H15" i="34"/>
  <c r="H7" i="34"/>
  <c r="F15" i="35"/>
  <c r="J13" i="33"/>
  <c r="I9" i="34"/>
  <c r="O15" i="39"/>
  <c r="Q9" i="34"/>
  <c r="C7" i="37"/>
  <c r="M9" i="38"/>
  <c r="F4" i="43"/>
  <c r="F7" i="40"/>
  <c r="G7" i="35"/>
  <c r="C7" i="33"/>
  <c r="L9" i="33"/>
  <c r="G15" i="33"/>
  <c r="C7" i="35"/>
  <c r="O7" i="35"/>
  <c r="F13" i="35"/>
  <c r="C15" i="35"/>
  <c r="O15" i="35"/>
  <c r="K9" i="37"/>
  <c r="C7" i="39"/>
  <c r="L9" i="39"/>
  <c r="G15" i="39"/>
  <c r="K9" i="40"/>
  <c r="F15" i="40"/>
  <c r="D7" i="41"/>
  <c r="M9" i="41"/>
  <c r="D9" i="37"/>
  <c r="L7" i="38"/>
  <c r="O7" i="39"/>
  <c r="N21" i="39"/>
  <c r="N7" i="40"/>
  <c r="G7" i="33"/>
  <c r="G9" i="35"/>
  <c r="G15" i="35"/>
  <c r="L7" i="34"/>
  <c r="L15" i="34"/>
  <c r="M13" i="35"/>
  <c r="P9" i="37"/>
  <c r="D9" i="33"/>
  <c r="N13" i="33"/>
  <c r="H17" i="33"/>
  <c r="P7" i="34"/>
  <c r="G13" i="34"/>
  <c r="P15" i="34"/>
  <c r="K7" i="35"/>
  <c r="O9" i="35"/>
  <c r="N13" i="35"/>
  <c r="K15" i="35"/>
  <c r="G7" i="37"/>
  <c r="G9" i="37"/>
  <c r="P7" i="38"/>
  <c r="D9" i="39"/>
  <c r="N13" i="39"/>
  <c r="H17" i="39"/>
  <c r="C9" i="40"/>
  <c r="M13" i="40"/>
  <c r="E9" i="41"/>
  <c r="E4" i="43"/>
  <c r="G7" i="39"/>
  <c r="N21" i="33"/>
  <c r="H9" i="33"/>
  <c r="C15" i="33"/>
  <c r="L17" i="33"/>
  <c r="E9" i="34"/>
  <c r="K13" i="34"/>
  <c r="E17" i="34"/>
  <c r="N7" i="35"/>
  <c r="E13" i="35"/>
  <c r="Q13" i="35"/>
  <c r="N15" i="35"/>
  <c r="K7" i="37"/>
  <c r="K5" i="37" s="1"/>
  <c r="H9" i="37"/>
  <c r="E9" i="38"/>
  <c r="H9" i="39"/>
  <c r="C15" i="39"/>
  <c r="G9" i="40"/>
  <c r="I9" i="41"/>
  <c r="F11" i="41"/>
  <c r="E7" i="41"/>
  <c r="E5" i="41" s="1"/>
  <c r="I7" i="41"/>
  <c r="M7" i="41"/>
  <c r="M5" i="41" s="1"/>
  <c r="Q7" i="41"/>
  <c r="Q5" i="41" s="1"/>
  <c r="F9" i="41"/>
  <c r="J9" i="41"/>
  <c r="N9" i="41"/>
  <c r="C11" i="41"/>
  <c r="G11" i="41"/>
  <c r="K11" i="41"/>
  <c r="O11" i="41"/>
  <c r="N11" i="41"/>
  <c r="J7" i="41"/>
  <c r="C9" i="41"/>
  <c r="C5" i="41" s="1"/>
  <c r="G9" i="41"/>
  <c r="K9" i="41"/>
  <c r="K5" i="41" s="1"/>
  <c r="O9" i="41"/>
  <c r="D11" i="41"/>
  <c r="D5" i="41" s="1"/>
  <c r="H11" i="41"/>
  <c r="H5" i="41" s="1"/>
  <c r="L11" i="41"/>
  <c r="L5" i="41" s="1"/>
  <c r="P11" i="41"/>
  <c r="P5" i="41" s="1"/>
  <c r="C7" i="40"/>
  <c r="G7" i="40"/>
  <c r="K7" i="40"/>
  <c r="O7" i="40"/>
  <c r="D9" i="40"/>
  <c r="H9" i="40"/>
  <c r="L9" i="40"/>
  <c r="P9" i="40"/>
  <c r="E11" i="40"/>
  <c r="I11" i="40"/>
  <c r="M11" i="40"/>
  <c r="Q11" i="40"/>
  <c r="F13" i="40"/>
  <c r="J13" i="40"/>
  <c r="N13" i="40"/>
  <c r="C15" i="40"/>
  <c r="G15" i="40"/>
  <c r="K15" i="40"/>
  <c r="O15" i="40"/>
  <c r="D7" i="40"/>
  <c r="H7" i="40"/>
  <c r="L7" i="40"/>
  <c r="P7" i="40"/>
  <c r="E9" i="40"/>
  <c r="I9" i="40"/>
  <c r="M9" i="40"/>
  <c r="Q9" i="40"/>
  <c r="F11" i="40"/>
  <c r="J11" i="40"/>
  <c r="N11" i="40"/>
  <c r="C13" i="40"/>
  <c r="G13" i="40"/>
  <c r="K13" i="40"/>
  <c r="K5" i="40" s="1"/>
  <c r="O13" i="40"/>
  <c r="D15" i="40"/>
  <c r="H15" i="40"/>
  <c r="L15" i="40"/>
  <c r="P15" i="40"/>
  <c r="D11" i="40"/>
  <c r="H11" i="40"/>
  <c r="L11" i="40"/>
  <c r="P11" i="40"/>
  <c r="E7" i="40"/>
  <c r="I7" i="40"/>
  <c r="M7" i="40"/>
  <c r="Q7" i="40"/>
  <c r="I11" i="39"/>
  <c r="D7" i="39"/>
  <c r="H7" i="39"/>
  <c r="L7" i="39"/>
  <c r="P7" i="39"/>
  <c r="E9" i="39"/>
  <c r="I9" i="39"/>
  <c r="M9" i="39"/>
  <c r="Q9" i="39"/>
  <c r="F11" i="39"/>
  <c r="J11" i="39"/>
  <c r="N11" i="39"/>
  <c r="C13" i="39"/>
  <c r="G13" i="39"/>
  <c r="K13" i="39"/>
  <c r="O13" i="39"/>
  <c r="D15" i="39"/>
  <c r="H15" i="39"/>
  <c r="L15" i="39"/>
  <c r="P15" i="39"/>
  <c r="E17" i="39"/>
  <c r="I17" i="39"/>
  <c r="M17" i="39"/>
  <c r="Q17" i="39"/>
  <c r="F19" i="39"/>
  <c r="J19" i="39"/>
  <c r="N19" i="39"/>
  <c r="C21" i="39"/>
  <c r="G21" i="39"/>
  <c r="K21" i="39"/>
  <c r="O21" i="39"/>
  <c r="M11" i="39"/>
  <c r="Q11" i="39"/>
  <c r="I19" i="39"/>
  <c r="Q19" i="39"/>
  <c r="E7" i="39"/>
  <c r="I7" i="39"/>
  <c r="M7" i="39"/>
  <c r="Q7" i="39"/>
  <c r="F9" i="39"/>
  <c r="J9" i="39"/>
  <c r="N9" i="39"/>
  <c r="C11" i="39"/>
  <c r="G11" i="39"/>
  <c r="K11" i="39"/>
  <c r="O11" i="39"/>
  <c r="D13" i="39"/>
  <c r="H13" i="39"/>
  <c r="L13" i="39"/>
  <c r="P13" i="39"/>
  <c r="E15" i="39"/>
  <c r="I15" i="39"/>
  <c r="M15" i="39"/>
  <c r="Q15" i="39"/>
  <c r="F17" i="39"/>
  <c r="J17" i="39"/>
  <c r="N17" i="39"/>
  <c r="C19" i="39"/>
  <c r="G19" i="39"/>
  <c r="K19" i="39"/>
  <c r="O19" i="39"/>
  <c r="D21" i="39"/>
  <c r="H21" i="39"/>
  <c r="L21" i="39"/>
  <c r="P21" i="39"/>
  <c r="E11" i="39"/>
  <c r="E19" i="39"/>
  <c r="M19" i="39"/>
  <c r="F7" i="39"/>
  <c r="J7" i="39"/>
  <c r="N7" i="39"/>
  <c r="C9" i="39"/>
  <c r="G9" i="39"/>
  <c r="K9" i="39"/>
  <c r="O9" i="39"/>
  <c r="D11" i="39"/>
  <c r="H11" i="39"/>
  <c r="L11" i="39"/>
  <c r="P11" i="39"/>
  <c r="E13" i="39"/>
  <c r="I13" i="39"/>
  <c r="M13" i="39"/>
  <c r="Q13" i="39"/>
  <c r="N11" i="38"/>
  <c r="E7" i="38"/>
  <c r="I7" i="38"/>
  <c r="I5" i="38" s="1"/>
  <c r="M7" i="38"/>
  <c r="M5" i="38" s="1"/>
  <c r="Q7" i="38"/>
  <c r="Q5" i="38" s="1"/>
  <c r="F9" i="38"/>
  <c r="J9" i="38"/>
  <c r="N9" i="38"/>
  <c r="C11" i="38"/>
  <c r="G11" i="38"/>
  <c r="K11" i="38"/>
  <c r="O11" i="38"/>
  <c r="J11" i="38"/>
  <c r="F7" i="38"/>
  <c r="C9" i="38"/>
  <c r="G9" i="38"/>
  <c r="K9" i="38"/>
  <c r="O9" i="38"/>
  <c r="O5" i="38" s="1"/>
  <c r="D11" i="38"/>
  <c r="D5" i="38" s="1"/>
  <c r="H11" i="38"/>
  <c r="H5" i="38" s="1"/>
  <c r="L11" i="38"/>
  <c r="P11" i="38"/>
  <c r="P5" i="38" s="1"/>
  <c r="C5" i="37"/>
  <c r="E11" i="37"/>
  <c r="I11" i="37"/>
  <c r="M11" i="37"/>
  <c r="Q11" i="37"/>
  <c r="D7" i="37"/>
  <c r="H7" i="37"/>
  <c r="H5" i="37" s="1"/>
  <c r="L7" i="37"/>
  <c r="L5" i="37" s="1"/>
  <c r="P7" i="37"/>
  <c r="E9" i="37"/>
  <c r="E5" i="37" s="1"/>
  <c r="I9" i="37"/>
  <c r="M9" i="37"/>
  <c r="Q9" i="37"/>
  <c r="F11" i="37"/>
  <c r="J11" i="37"/>
  <c r="N11" i="37"/>
  <c r="N5" i="37" s="1"/>
  <c r="F9" i="37"/>
  <c r="J9" i="37"/>
  <c r="D11" i="35"/>
  <c r="L11" i="35"/>
  <c r="D9" i="35"/>
  <c r="L9" i="35"/>
  <c r="E11" i="35"/>
  <c r="M11" i="35"/>
  <c r="Q11" i="35"/>
  <c r="H11" i="35"/>
  <c r="P9" i="35"/>
  <c r="D7" i="35"/>
  <c r="H7" i="35"/>
  <c r="L7" i="35"/>
  <c r="P7" i="35"/>
  <c r="E9" i="35"/>
  <c r="I9" i="35"/>
  <c r="M9" i="35"/>
  <c r="Q9" i="35"/>
  <c r="F11" i="35"/>
  <c r="F5" i="35" s="1"/>
  <c r="J11" i="35"/>
  <c r="J5" i="35" s="1"/>
  <c r="N11" i="35"/>
  <c r="N5" i="35" s="1"/>
  <c r="C13" i="35"/>
  <c r="C5" i="35" s="1"/>
  <c r="G13" i="35"/>
  <c r="K13" i="35"/>
  <c r="K5" i="35" s="1"/>
  <c r="O13" i="35"/>
  <c r="D15" i="35"/>
  <c r="H15" i="35"/>
  <c r="L15" i="35"/>
  <c r="P15" i="35"/>
  <c r="P11" i="35"/>
  <c r="H9" i="35"/>
  <c r="I11" i="35"/>
  <c r="E7" i="35"/>
  <c r="I7" i="35"/>
  <c r="M7" i="35"/>
  <c r="Q7" i="35"/>
  <c r="N19" i="34"/>
  <c r="E7" i="34"/>
  <c r="I7" i="34"/>
  <c r="M7" i="34"/>
  <c r="Q7" i="34"/>
  <c r="F9" i="34"/>
  <c r="J9" i="34"/>
  <c r="N9" i="34"/>
  <c r="C11" i="34"/>
  <c r="G11" i="34"/>
  <c r="K11" i="34"/>
  <c r="O11" i="34"/>
  <c r="D13" i="34"/>
  <c r="H13" i="34"/>
  <c r="L13" i="34"/>
  <c r="P13" i="34"/>
  <c r="E15" i="34"/>
  <c r="I15" i="34"/>
  <c r="M15" i="34"/>
  <c r="Q15" i="34"/>
  <c r="F17" i="34"/>
  <c r="J17" i="34"/>
  <c r="N17" i="34"/>
  <c r="C19" i="34"/>
  <c r="G19" i="34"/>
  <c r="K19" i="34"/>
  <c r="O19" i="34"/>
  <c r="F11" i="34"/>
  <c r="J11" i="34"/>
  <c r="N11" i="34"/>
  <c r="F19" i="34"/>
  <c r="F7" i="34"/>
  <c r="J7" i="34"/>
  <c r="N7" i="34"/>
  <c r="C9" i="34"/>
  <c r="G9" i="34"/>
  <c r="K9" i="34"/>
  <c r="O9" i="34"/>
  <c r="D11" i="34"/>
  <c r="H11" i="34"/>
  <c r="L11" i="34"/>
  <c r="P11" i="34"/>
  <c r="E13" i="34"/>
  <c r="I13" i="34"/>
  <c r="M13" i="34"/>
  <c r="Q13" i="34"/>
  <c r="F15" i="34"/>
  <c r="J15" i="34"/>
  <c r="N15" i="34"/>
  <c r="C17" i="34"/>
  <c r="G17" i="34"/>
  <c r="K17" i="34"/>
  <c r="O17" i="34"/>
  <c r="D19" i="34"/>
  <c r="H19" i="34"/>
  <c r="L19" i="34"/>
  <c r="P19" i="34"/>
  <c r="J19" i="34"/>
  <c r="C7" i="34"/>
  <c r="G7" i="34"/>
  <c r="K7" i="34"/>
  <c r="O7" i="34"/>
  <c r="D9" i="34"/>
  <c r="H9" i="34"/>
  <c r="L9" i="34"/>
  <c r="P9" i="34"/>
  <c r="E11" i="34"/>
  <c r="I11" i="34"/>
  <c r="M11" i="34"/>
  <c r="Q11" i="34"/>
  <c r="E11" i="33"/>
  <c r="Q11" i="33"/>
  <c r="E19" i="33"/>
  <c r="M19" i="33"/>
  <c r="D7" i="33"/>
  <c r="H7" i="33"/>
  <c r="L7" i="33"/>
  <c r="P7" i="33"/>
  <c r="E9" i="33"/>
  <c r="I9" i="33"/>
  <c r="M9" i="33"/>
  <c r="Q9" i="33"/>
  <c r="F11" i="33"/>
  <c r="J11" i="33"/>
  <c r="N11" i="33"/>
  <c r="C13" i="33"/>
  <c r="G13" i="33"/>
  <c r="K13" i="33"/>
  <c r="O13" i="33"/>
  <c r="D15" i="33"/>
  <c r="H15" i="33"/>
  <c r="L15" i="33"/>
  <c r="P15" i="33"/>
  <c r="E17" i="33"/>
  <c r="I17" i="33"/>
  <c r="M17" i="33"/>
  <c r="Q17" i="33"/>
  <c r="F19" i="33"/>
  <c r="J19" i="33"/>
  <c r="N19" i="33"/>
  <c r="C21" i="33"/>
  <c r="G21" i="33"/>
  <c r="K21" i="33"/>
  <c r="O21" i="33"/>
  <c r="M11" i="33"/>
  <c r="E7" i="33"/>
  <c r="I7" i="33"/>
  <c r="M7" i="33"/>
  <c r="Q7" i="33"/>
  <c r="F9" i="33"/>
  <c r="J9" i="33"/>
  <c r="N9" i="33"/>
  <c r="C11" i="33"/>
  <c r="G11" i="33"/>
  <c r="K11" i="33"/>
  <c r="O11" i="33"/>
  <c r="D13" i="33"/>
  <c r="H13" i="33"/>
  <c r="L13" i="33"/>
  <c r="P13" i="33"/>
  <c r="E15" i="33"/>
  <c r="I15" i="33"/>
  <c r="M15" i="33"/>
  <c r="Q15" i="33"/>
  <c r="F17" i="33"/>
  <c r="J17" i="33"/>
  <c r="N17" i="33"/>
  <c r="C19" i="33"/>
  <c r="G19" i="33"/>
  <c r="K19" i="33"/>
  <c r="O19" i="33"/>
  <c r="D21" i="33"/>
  <c r="H21" i="33"/>
  <c r="L21" i="33"/>
  <c r="P21" i="33"/>
  <c r="I11" i="33"/>
  <c r="I19" i="33"/>
  <c r="Q19" i="33"/>
  <c r="F7" i="33"/>
  <c r="J7" i="33"/>
  <c r="N7" i="33"/>
  <c r="C9" i="33"/>
  <c r="G9" i="33"/>
  <c r="K9" i="33"/>
  <c r="O9" i="33"/>
  <c r="D11" i="33"/>
  <c r="H11" i="33"/>
  <c r="L11" i="33"/>
  <c r="P11" i="33"/>
  <c r="E13" i="33"/>
  <c r="I13" i="33"/>
  <c r="M13" i="33"/>
  <c r="Q13" i="33"/>
  <c r="G17" i="28"/>
  <c r="E17" i="28"/>
  <c r="C17" i="28"/>
  <c r="J16" i="28"/>
  <c r="H16" i="28"/>
  <c r="G16" i="28"/>
  <c r="E16" i="28"/>
  <c r="C16" i="28"/>
  <c r="J15" i="28"/>
  <c r="H15" i="28"/>
  <c r="G15" i="28"/>
  <c r="E15" i="28"/>
  <c r="C15" i="28"/>
  <c r="J14" i="28"/>
  <c r="H14" i="28"/>
  <c r="G14" i="28"/>
  <c r="E14" i="28"/>
  <c r="C14" i="28"/>
  <c r="J13" i="28"/>
  <c r="H13" i="28"/>
  <c r="G13" i="28"/>
  <c r="E13" i="28"/>
  <c r="C13" i="28"/>
  <c r="K9" i="28"/>
  <c r="I9" i="28"/>
  <c r="G9" i="28"/>
  <c r="E9" i="28"/>
  <c r="C9" i="28"/>
  <c r="K8" i="28"/>
  <c r="I8" i="28"/>
  <c r="G8" i="28"/>
  <c r="E8" i="28"/>
  <c r="C8" i="28"/>
  <c r="K7" i="28"/>
  <c r="I7" i="28"/>
  <c r="G7" i="28"/>
  <c r="E7" i="28"/>
  <c r="C7" i="28"/>
  <c r="K6" i="28"/>
  <c r="I6" i="28"/>
  <c r="G6" i="28"/>
  <c r="E6" i="28"/>
  <c r="C6" i="28"/>
  <c r="K5" i="28"/>
  <c r="I5" i="28"/>
  <c r="G5" i="28"/>
  <c r="E5" i="28"/>
  <c r="C5" i="28"/>
  <c r="I5" i="35" l="1"/>
  <c r="C5" i="39"/>
  <c r="G5" i="37"/>
  <c r="G4" i="28"/>
  <c r="O5" i="39"/>
  <c r="C12" i="28"/>
  <c r="D5" i="37"/>
  <c r="Q5" i="37"/>
  <c r="O5" i="33"/>
  <c r="C5" i="34"/>
  <c r="E5" i="38"/>
  <c r="C4" i="28"/>
  <c r="K5" i="33"/>
  <c r="K5" i="38"/>
  <c r="O5" i="40"/>
  <c r="G5" i="41"/>
  <c r="N5" i="41"/>
  <c r="F5" i="37"/>
  <c r="C5" i="38"/>
  <c r="H5" i="35"/>
  <c r="N5" i="33"/>
  <c r="P5" i="33"/>
  <c r="C5" i="40"/>
  <c r="E12" i="28"/>
  <c r="G12" i="28"/>
  <c r="C5" i="33"/>
  <c r="E5" i="33"/>
  <c r="K5" i="34"/>
  <c r="H5" i="34"/>
  <c r="P5" i="34"/>
  <c r="G5" i="34"/>
  <c r="F5" i="38"/>
  <c r="N5" i="38"/>
  <c r="D5" i="40"/>
  <c r="I5" i="41"/>
  <c r="J5" i="38"/>
  <c r="Q5" i="34"/>
  <c r="J5" i="37"/>
  <c r="M5" i="37"/>
  <c r="Q5" i="40"/>
  <c r="E4" i="28"/>
  <c r="I4" i="28"/>
  <c r="O5" i="35"/>
  <c r="I5" i="37"/>
  <c r="P5" i="40"/>
  <c r="M5" i="40"/>
  <c r="F5" i="41"/>
  <c r="O5" i="34"/>
  <c r="G5" i="38"/>
  <c r="I5" i="40"/>
  <c r="F5" i="40"/>
  <c r="D5" i="34"/>
  <c r="G5" i="33"/>
  <c r="J5" i="34"/>
  <c r="L5" i="40"/>
  <c r="K4" i="28"/>
  <c r="L5" i="34"/>
  <c r="G5" i="35"/>
  <c r="P5" i="37"/>
  <c r="L5" i="38"/>
  <c r="K5" i="39"/>
  <c r="G5" i="39"/>
  <c r="H5" i="40"/>
  <c r="E5" i="40"/>
  <c r="J5" i="41"/>
  <c r="O5" i="41"/>
  <c r="G5" i="40"/>
  <c r="N5" i="40"/>
  <c r="J5" i="40"/>
  <c r="E5" i="39"/>
  <c r="L5" i="39"/>
  <c r="N5" i="39"/>
  <c r="Q5" i="39"/>
  <c r="H5" i="39"/>
  <c r="J5" i="39"/>
  <c r="M5" i="39"/>
  <c r="D5" i="39"/>
  <c r="F5" i="39"/>
  <c r="I5" i="39"/>
  <c r="P5" i="39"/>
  <c r="Q5" i="35"/>
  <c r="M5" i="35"/>
  <c r="L5" i="35"/>
  <c r="P5" i="35"/>
  <c r="E5" i="35"/>
  <c r="D5" i="35"/>
  <c r="F5" i="34"/>
  <c r="M5" i="34"/>
  <c r="I5" i="34"/>
  <c r="N5" i="34"/>
  <c r="E5" i="34"/>
  <c r="Q5" i="33"/>
  <c r="L5" i="33"/>
  <c r="M5" i="33"/>
  <c r="H5" i="33"/>
  <c r="J5" i="33"/>
  <c r="F5" i="33"/>
  <c r="I5" i="33"/>
  <c r="D5" i="33"/>
  <c r="J12" i="28"/>
  <c r="H12" i="28"/>
  <c r="E17" i="21"/>
  <c r="E15" i="21"/>
  <c r="E16" i="21"/>
  <c r="E14" i="21"/>
  <c r="E13" i="21"/>
  <c r="C17" i="21"/>
  <c r="C15" i="21"/>
  <c r="C16" i="21"/>
  <c r="C14" i="21"/>
  <c r="C13" i="21"/>
  <c r="H19" i="20"/>
  <c r="H18" i="20"/>
  <c r="H17" i="20"/>
  <c r="J14" i="20"/>
  <c r="K21" i="20" s="1"/>
  <c r="F14" i="20"/>
  <c r="G15" i="20" s="1"/>
  <c r="D14" i="20"/>
  <c r="E20" i="20" s="1"/>
  <c r="B14" i="20"/>
  <c r="E16" i="20" l="1"/>
  <c r="H14" i="20"/>
  <c r="I17" i="28"/>
  <c r="I16" i="28"/>
  <c r="I14" i="28"/>
  <c r="K17" i="28"/>
  <c r="K14" i="28"/>
  <c r="K13" i="28"/>
  <c r="K15" i="28"/>
  <c r="K16" i="28"/>
  <c r="I15" i="28"/>
  <c r="I13" i="28"/>
  <c r="G18" i="20"/>
  <c r="C19" i="20"/>
  <c r="G20" i="20"/>
  <c r="E21" i="20"/>
  <c r="G16" i="20"/>
  <c r="E17" i="20"/>
  <c r="K17" i="20"/>
  <c r="E19" i="20"/>
  <c r="K19" i="20"/>
  <c r="G21" i="20"/>
  <c r="C17" i="20"/>
  <c r="C15" i="20"/>
  <c r="K15" i="20"/>
  <c r="I16" i="20"/>
  <c r="G17" i="20"/>
  <c r="C18" i="20"/>
  <c r="G19" i="20"/>
  <c r="C20" i="20"/>
  <c r="K20" i="20"/>
  <c r="E15" i="20"/>
  <c r="C16" i="20"/>
  <c r="K16" i="20"/>
  <c r="E18" i="20"/>
  <c r="K18" i="20"/>
  <c r="R19" i="19"/>
  <c r="N19" i="19"/>
  <c r="J19" i="19"/>
  <c r="F19" i="19"/>
  <c r="B19" i="19"/>
  <c r="R18" i="19"/>
  <c r="N18" i="19"/>
  <c r="J18" i="19"/>
  <c r="F18" i="19"/>
  <c r="B18" i="19"/>
  <c r="R17" i="19"/>
  <c r="N17" i="19"/>
  <c r="J17" i="19"/>
  <c r="F17" i="19"/>
  <c r="B17" i="19"/>
  <c r="R16" i="19"/>
  <c r="N16" i="19"/>
  <c r="J16" i="19"/>
  <c r="F16" i="19"/>
  <c r="B16" i="19"/>
  <c r="R15" i="19"/>
  <c r="N15" i="19"/>
  <c r="J15" i="19"/>
  <c r="F15" i="19"/>
  <c r="B15" i="19"/>
  <c r="T14" i="19"/>
  <c r="S14" i="19"/>
  <c r="P14" i="19"/>
  <c r="O14" i="19"/>
  <c r="J14" i="19"/>
  <c r="F14" i="19"/>
  <c r="B14" i="19"/>
  <c r="E15" i="19" l="1"/>
  <c r="R14" i="19"/>
  <c r="I21" i="20"/>
  <c r="I19" i="20"/>
  <c r="I19" i="19"/>
  <c r="I17" i="19"/>
  <c r="I20" i="20"/>
  <c r="I15" i="20"/>
  <c r="I15" i="19"/>
  <c r="I18" i="20"/>
  <c r="E14" i="20"/>
  <c r="I18" i="19"/>
  <c r="I17" i="20"/>
  <c r="I12" i="28"/>
  <c r="K12" i="28"/>
  <c r="G14" i="20"/>
  <c r="C14" i="20"/>
  <c r="K14" i="20"/>
  <c r="N14" i="19"/>
  <c r="Q19" i="19" s="1"/>
  <c r="E16" i="19"/>
  <c r="U16" i="19"/>
  <c r="M18" i="19"/>
  <c r="M15" i="19"/>
  <c r="I16" i="19"/>
  <c r="E17" i="19"/>
  <c r="M19" i="19"/>
  <c r="M16" i="19"/>
  <c r="E18" i="19"/>
  <c r="M17" i="19"/>
  <c r="E19" i="19"/>
  <c r="U17" i="19"/>
  <c r="U18" i="19"/>
  <c r="U15" i="19"/>
  <c r="U19" i="19"/>
  <c r="U7" i="19"/>
  <c r="U8" i="19"/>
  <c r="U10" i="19"/>
  <c r="U9" i="19"/>
  <c r="U6" i="19"/>
  <c r="E14" i="19" l="1"/>
  <c r="I14" i="19"/>
  <c r="M14" i="19"/>
  <c r="I14" i="20"/>
  <c r="Q15" i="19"/>
  <c r="Q16" i="19"/>
  <c r="Q18" i="19"/>
  <c r="Q17" i="19"/>
  <c r="U14" i="19"/>
  <c r="U5" i="19"/>
  <c r="B4" i="8"/>
  <c r="C6" i="8" s="1"/>
  <c r="C4" i="8"/>
  <c r="D4" i="8"/>
  <c r="E5" i="8" s="1"/>
  <c r="F4" i="8"/>
  <c r="G5" i="8" s="1"/>
  <c r="G4" i="8"/>
  <c r="H4" i="8"/>
  <c r="I5" i="8" s="1"/>
  <c r="C5" i="8"/>
  <c r="C7" i="8"/>
  <c r="G8" i="8"/>
  <c r="C9" i="8"/>
  <c r="G9" i="8"/>
  <c r="C11" i="8"/>
  <c r="G12" i="8"/>
  <c r="C13" i="8"/>
  <c r="G13" i="8"/>
  <c r="I8" i="8" l="1"/>
  <c r="Q14" i="19"/>
  <c r="I12" i="8"/>
  <c r="G11" i="8"/>
  <c r="G7" i="8"/>
  <c r="I10" i="8"/>
  <c r="G6" i="8"/>
  <c r="G10" i="8"/>
  <c r="I6" i="8"/>
  <c r="I13" i="8"/>
  <c r="I11" i="8"/>
  <c r="I9" i="8"/>
  <c r="I7" i="8"/>
  <c r="E4" i="8"/>
  <c r="C12" i="8"/>
  <c r="C10" i="8"/>
  <c r="C8" i="8"/>
  <c r="E13" i="8"/>
  <c r="E12" i="8"/>
  <c r="E11" i="8"/>
  <c r="E10" i="8"/>
  <c r="E9" i="8"/>
  <c r="E8" i="8"/>
  <c r="E7" i="8"/>
  <c r="E6" i="8"/>
  <c r="I4" i="8" l="1"/>
  <c r="G21" i="29"/>
  <c r="G20" i="29"/>
  <c r="G19" i="29"/>
  <c r="G18" i="29"/>
  <c r="G17" i="29"/>
  <c r="G16" i="29"/>
  <c r="G15" i="29"/>
  <c r="E21" i="29"/>
  <c r="E20" i="29"/>
  <c r="E19" i="29"/>
  <c r="E18" i="29"/>
  <c r="E17" i="29"/>
  <c r="E16" i="29"/>
  <c r="E15" i="29"/>
  <c r="C16" i="29"/>
  <c r="C17" i="29"/>
  <c r="C18" i="29"/>
  <c r="C19" i="29"/>
  <c r="C20" i="29"/>
  <c r="C21" i="29"/>
  <c r="C15" i="29"/>
  <c r="K11" i="29"/>
  <c r="K10" i="29"/>
  <c r="K9" i="29"/>
  <c r="K8" i="29"/>
  <c r="K7" i="29"/>
  <c r="K6" i="29"/>
  <c r="K5" i="29"/>
  <c r="I11" i="29"/>
  <c r="I10" i="29"/>
  <c r="I9" i="29"/>
  <c r="I8" i="29"/>
  <c r="I7" i="29"/>
  <c r="I6" i="29"/>
  <c r="I5" i="29"/>
  <c r="G11" i="29"/>
  <c r="G10" i="29"/>
  <c r="G9" i="29"/>
  <c r="G8" i="29"/>
  <c r="G7" i="29"/>
  <c r="G6" i="29"/>
  <c r="G5" i="29"/>
  <c r="E11" i="29"/>
  <c r="E10" i="29"/>
  <c r="E9" i="29"/>
  <c r="E8" i="29"/>
  <c r="E7" i="29"/>
  <c r="E6" i="29"/>
  <c r="E5" i="29"/>
  <c r="C6" i="29"/>
  <c r="C7" i="29"/>
  <c r="C8" i="29"/>
  <c r="C9" i="29"/>
  <c r="C10" i="29"/>
  <c r="C11" i="29"/>
  <c r="C5" i="29"/>
  <c r="H21" i="29"/>
  <c r="H20" i="29"/>
  <c r="H19" i="29"/>
  <c r="H18" i="29"/>
  <c r="H17" i="29"/>
  <c r="H16" i="29"/>
  <c r="H15" i="29"/>
  <c r="J14" i="29"/>
  <c r="K21" i="29" s="1"/>
  <c r="R19" i="26"/>
  <c r="N19" i="26"/>
  <c r="J19" i="26"/>
  <c r="F19" i="26"/>
  <c r="B19" i="26"/>
  <c r="R18" i="26"/>
  <c r="N18" i="26"/>
  <c r="J18" i="26"/>
  <c r="F18" i="26"/>
  <c r="B18" i="26"/>
  <c r="R17" i="26"/>
  <c r="N17" i="26"/>
  <c r="J17" i="26"/>
  <c r="F17" i="26"/>
  <c r="B17" i="26"/>
  <c r="R16" i="26"/>
  <c r="N16" i="26"/>
  <c r="J16" i="26"/>
  <c r="F16" i="26"/>
  <c r="B16" i="26"/>
  <c r="R15" i="26"/>
  <c r="N15" i="26"/>
  <c r="J15" i="26"/>
  <c r="F15" i="26"/>
  <c r="B15" i="26"/>
  <c r="T14" i="26"/>
  <c r="S14" i="26"/>
  <c r="P14" i="26"/>
  <c r="O14" i="26"/>
  <c r="L14" i="26"/>
  <c r="K14" i="26"/>
  <c r="H14" i="26"/>
  <c r="G14" i="26"/>
  <c r="D14" i="26"/>
  <c r="C14" i="26"/>
  <c r="R10" i="26"/>
  <c r="N10" i="26"/>
  <c r="J10" i="26"/>
  <c r="F10" i="26"/>
  <c r="B10" i="26"/>
  <c r="R9" i="26"/>
  <c r="N9" i="26"/>
  <c r="J9" i="26"/>
  <c r="F9" i="26"/>
  <c r="B9" i="26"/>
  <c r="R8" i="26"/>
  <c r="N8" i="26"/>
  <c r="J8" i="26"/>
  <c r="F8" i="26"/>
  <c r="B8" i="26"/>
  <c r="R6" i="26"/>
  <c r="N6" i="26"/>
  <c r="J6" i="26"/>
  <c r="F6" i="26"/>
  <c r="B6" i="26"/>
  <c r="R7" i="26"/>
  <c r="U7" i="26" s="1"/>
  <c r="N7" i="26"/>
  <c r="J7" i="26"/>
  <c r="F7" i="26"/>
  <c r="B7" i="26"/>
  <c r="T5" i="26"/>
  <c r="S5" i="26"/>
  <c r="R5" i="26" s="1"/>
  <c r="U9" i="26" s="1"/>
  <c r="P5" i="26"/>
  <c r="O5" i="26"/>
  <c r="L5" i="26"/>
  <c r="K5" i="26"/>
  <c r="H5" i="26"/>
  <c r="G5" i="26"/>
  <c r="D5" i="26"/>
  <c r="C5" i="26"/>
  <c r="G23" i="25"/>
  <c r="G22" i="25"/>
  <c r="G21" i="25"/>
  <c r="G20" i="25"/>
  <c r="G19" i="25"/>
  <c r="G18" i="25"/>
  <c r="G17" i="25"/>
  <c r="G16" i="25"/>
  <c r="E23" i="25"/>
  <c r="E22" i="25"/>
  <c r="E21" i="25"/>
  <c r="E20" i="25"/>
  <c r="E19" i="25"/>
  <c r="E18" i="25"/>
  <c r="E17" i="25"/>
  <c r="E16" i="25"/>
  <c r="C17" i="25"/>
  <c r="C18" i="25"/>
  <c r="C19" i="25"/>
  <c r="C20" i="25"/>
  <c r="C21" i="25"/>
  <c r="C22" i="25"/>
  <c r="C23" i="25"/>
  <c r="C16" i="25"/>
  <c r="K12" i="25"/>
  <c r="K11" i="25"/>
  <c r="K10" i="25"/>
  <c r="K9" i="25"/>
  <c r="K8" i="25"/>
  <c r="K7" i="25"/>
  <c r="K6" i="25"/>
  <c r="K5" i="25"/>
  <c r="I12" i="25"/>
  <c r="I11" i="25"/>
  <c r="I10" i="25"/>
  <c r="I9" i="25"/>
  <c r="I8" i="25"/>
  <c r="I7" i="25"/>
  <c r="I6" i="25"/>
  <c r="I5" i="25"/>
  <c r="G12" i="25"/>
  <c r="G11" i="25"/>
  <c r="G10" i="25"/>
  <c r="G9" i="25"/>
  <c r="G8" i="25"/>
  <c r="G7" i="25"/>
  <c r="G6" i="25"/>
  <c r="G5" i="25"/>
  <c r="E12" i="25"/>
  <c r="E11" i="25"/>
  <c r="E10" i="25"/>
  <c r="E9" i="25"/>
  <c r="E8" i="25"/>
  <c r="E7" i="25"/>
  <c r="E6" i="25"/>
  <c r="E5" i="25"/>
  <c r="C6" i="25"/>
  <c r="C7" i="25"/>
  <c r="C8" i="25"/>
  <c r="C9" i="25"/>
  <c r="C10" i="25"/>
  <c r="C11" i="25"/>
  <c r="C12" i="25"/>
  <c r="C5" i="25"/>
  <c r="J15" i="25"/>
  <c r="K23" i="25" s="1"/>
  <c r="H15" i="25"/>
  <c r="I23" i="25" s="1"/>
  <c r="K17" i="24"/>
  <c r="G21" i="24"/>
  <c r="K13" i="24"/>
  <c r="K12" i="24"/>
  <c r="K9" i="24"/>
  <c r="K6" i="24"/>
  <c r="I12" i="24"/>
  <c r="J16" i="24"/>
  <c r="K25" i="24" s="1"/>
  <c r="H16" i="24"/>
  <c r="I22" i="24" s="1"/>
  <c r="F16" i="24"/>
  <c r="G25" i="24" s="1"/>
  <c r="D16" i="24"/>
  <c r="E22" i="24" s="1"/>
  <c r="B16" i="24"/>
  <c r="C16" i="24" s="1"/>
  <c r="J4" i="24"/>
  <c r="K10" i="24" s="1"/>
  <c r="H4" i="24"/>
  <c r="I13" i="24" s="1"/>
  <c r="F4" i="24"/>
  <c r="G10" i="24" s="1"/>
  <c r="D4" i="24"/>
  <c r="E13" i="24" s="1"/>
  <c r="B4" i="24"/>
  <c r="C9" i="24" s="1"/>
  <c r="M22" i="23"/>
  <c r="M20" i="23"/>
  <c r="M23" i="23"/>
  <c r="M21" i="23"/>
  <c r="M19" i="23"/>
  <c r="M18" i="23"/>
  <c r="M17" i="23"/>
  <c r="I22" i="23"/>
  <c r="I20" i="23"/>
  <c r="I23" i="23"/>
  <c r="I21" i="23"/>
  <c r="I19" i="23"/>
  <c r="I18" i="23"/>
  <c r="I17" i="23"/>
  <c r="E18" i="23"/>
  <c r="E19" i="23"/>
  <c r="E21" i="23"/>
  <c r="E23" i="23"/>
  <c r="E20" i="23"/>
  <c r="E22" i="23"/>
  <c r="E17" i="23"/>
  <c r="U11" i="23"/>
  <c r="U9" i="23"/>
  <c r="U12" i="23"/>
  <c r="U10" i="23"/>
  <c r="U8" i="23"/>
  <c r="U7" i="23"/>
  <c r="U6" i="23"/>
  <c r="Q11" i="23"/>
  <c r="Q9" i="23"/>
  <c r="Q12" i="23"/>
  <c r="Q10" i="23"/>
  <c r="Q8" i="23"/>
  <c r="Q7" i="23"/>
  <c r="Q6" i="23"/>
  <c r="M11" i="23"/>
  <c r="M9" i="23"/>
  <c r="M12" i="23"/>
  <c r="M10" i="23"/>
  <c r="M8" i="23"/>
  <c r="M7" i="23"/>
  <c r="M6" i="23"/>
  <c r="I11" i="23"/>
  <c r="I9" i="23"/>
  <c r="I12" i="23"/>
  <c r="I10" i="23"/>
  <c r="I8" i="23"/>
  <c r="I7" i="23"/>
  <c r="I6" i="23"/>
  <c r="E7" i="23"/>
  <c r="E8" i="23"/>
  <c r="E10" i="23"/>
  <c r="E12" i="23"/>
  <c r="E9" i="23"/>
  <c r="E11" i="23"/>
  <c r="E6" i="23"/>
  <c r="R22" i="23"/>
  <c r="N22" i="23"/>
  <c r="R20" i="23"/>
  <c r="N20" i="23"/>
  <c r="R23" i="23"/>
  <c r="N23" i="23"/>
  <c r="R21" i="23"/>
  <c r="N21" i="23"/>
  <c r="R19" i="23"/>
  <c r="N19" i="23"/>
  <c r="R18" i="23"/>
  <c r="N18" i="23"/>
  <c r="R17" i="23"/>
  <c r="N17" i="23"/>
  <c r="T16" i="23"/>
  <c r="S16" i="23"/>
  <c r="P16" i="23"/>
  <c r="O16" i="23"/>
  <c r="G21" i="22"/>
  <c r="G20" i="22"/>
  <c r="G19" i="22"/>
  <c r="G18" i="22"/>
  <c r="G17" i="22"/>
  <c r="G16" i="22"/>
  <c r="G15" i="22"/>
  <c r="E21" i="22"/>
  <c r="E20" i="22"/>
  <c r="E19" i="22"/>
  <c r="E18" i="22"/>
  <c r="E17" i="22"/>
  <c r="E16" i="22"/>
  <c r="E15" i="22"/>
  <c r="C16" i="22"/>
  <c r="C17" i="22"/>
  <c r="C18" i="22"/>
  <c r="C19" i="22"/>
  <c r="C20" i="22"/>
  <c r="C21" i="22"/>
  <c r="C15" i="22"/>
  <c r="J14" i="22"/>
  <c r="K20" i="22" s="1"/>
  <c r="H14" i="22"/>
  <c r="I21" i="22" s="1"/>
  <c r="K11" i="22"/>
  <c r="K10" i="22"/>
  <c r="K9" i="22"/>
  <c r="K8" i="22"/>
  <c r="K7" i="22"/>
  <c r="K6" i="22"/>
  <c r="K5" i="22"/>
  <c r="I11" i="22"/>
  <c r="I10" i="22"/>
  <c r="I9" i="22"/>
  <c r="I8" i="22"/>
  <c r="I7" i="22"/>
  <c r="I6" i="22"/>
  <c r="I5" i="22"/>
  <c r="G11" i="22"/>
  <c r="G10" i="22"/>
  <c r="G9" i="22"/>
  <c r="G8" i="22"/>
  <c r="G7" i="22"/>
  <c r="G6" i="22"/>
  <c r="G5" i="22"/>
  <c r="E11" i="22"/>
  <c r="E10" i="22"/>
  <c r="E9" i="22"/>
  <c r="E8" i="22"/>
  <c r="E7" i="22"/>
  <c r="E6" i="22"/>
  <c r="E5" i="22"/>
  <c r="C6" i="22"/>
  <c r="C7" i="22"/>
  <c r="C8" i="22"/>
  <c r="C9" i="22"/>
  <c r="C10" i="22"/>
  <c r="C11" i="22"/>
  <c r="C5" i="22"/>
  <c r="C12" i="21"/>
  <c r="J12" i="21"/>
  <c r="K17" i="21" s="1"/>
  <c r="H12" i="21"/>
  <c r="I17" i="21" s="1"/>
  <c r="F12" i="21"/>
  <c r="E12" i="21"/>
  <c r="K7" i="21"/>
  <c r="K8" i="21"/>
  <c r="K6" i="21"/>
  <c r="K5" i="21"/>
  <c r="I9" i="21"/>
  <c r="I7" i="21"/>
  <c r="I8" i="21"/>
  <c r="I6" i="21"/>
  <c r="I5" i="21"/>
  <c r="G9" i="21"/>
  <c r="G7" i="21"/>
  <c r="G8" i="21"/>
  <c r="G6" i="21"/>
  <c r="G5" i="21"/>
  <c r="E9" i="21"/>
  <c r="E7" i="21"/>
  <c r="E8" i="21"/>
  <c r="E6" i="21"/>
  <c r="E5" i="21"/>
  <c r="C6" i="21"/>
  <c r="C8" i="21"/>
  <c r="C7" i="21"/>
  <c r="C9" i="21"/>
  <c r="C5" i="21"/>
  <c r="B4" i="20"/>
  <c r="C11" i="20" s="1"/>
  <c r="D11" i="20" s="1"/>
  <c r="Q10" i="19"/>
  <c r="M10" i="19"/>
  <c r="I10" i="19"/>
  <c r="E10" i="19"/>
  <c r="Q9" i="19"/>
  <c r="M9" i="19"/>
  <c r="I9" i="19"/>
  <c r="E9" i="19"/>
  <c r="Q8" i="19"/>
  <c r="M8" i="19"/>
  <c r="I8" i="19"/>
  <c r="E8" i="19"/>
  <c r="Q7" i="19"/>
  <c r="M7" i="19"/>
  <c r="I7" i="19"/>
  <c r="E7" i="19"/>
  <c r="Q6" i="19"/>
  <c r="M6" i="19"/>
  <c r="I6" i="19"/>
  <c r="E6" i="19"/>
  <c r="E5" i="19" s="1"/>
  <c r="E9" i="18"/>
  <c r="C5" i="18"/>
  <c r="H20" i="18"/>
  <c r="H16" i="18"/>
  <c r="J15" i="18"/>
  <c r="K23" i="18" s="1"/>
  <c r="F15" i="18"/>
  <c r="G23" i="18" s="1"/>
  <c r="D15" i="18"/>
  <c r="E19" i="18" s="1"/>
  <c r="B15" i="18"/>
  <c r="C19" i="18" s="1"/>
  <c r="J4" i="18"/>
  <c r="K12" i="18" s="1"/>
  <c r="H4" i="18"/>
  <c r="I8" i="18" s="1"/>
  <c r="F4" i="18"/>
  <c r="G10" i="18" s="1"/>
  <c r="D4" i="18"/>
  <c r="E12" i="18" s="1"/>
  <c r="B4" i="18"/>
  <c r="C10" i="18" s="1"/>
  <c r="E16" i="18" l="1"/>
  <c r="K20" i="25"/>
  <c r="D4" i="20"/>
  <c r="E9" i="20" s="1"/>
  <c r="G20" i="18"/>
  <c r="G12" i="24"/>
  <c r="I6" i="26"/>
  <c r="I10" i="26"/>
  <c r="C8" i="18"/>
  <c r="C7" i="18"/>
  <c r="E22" i="18"/>
  <c r="I19" i="22"/>
  <c r="I8" i="24"/>
  <c r="K7" i="24"/>
  <c r="E18" i="24"/>
  <c r="I4" i="24"/>
  <c r="C4" i="25"/>
  <c r="I20" i="25"/>
  <c r="G7" i="24"/>
  <c r="E8" i="18"/>
  <c r="G19" i="18"/>
  <c r="I20" i="22"/>
  <c r="I11" i="24"/>
  <c r="E24" i="24"/>
  <c r="G16" i="24"/>
  <c r="K17" i="25"/>
  <c r="F5" i="26"/>
  <c r="I7" i="26" s="1"/>
  <c r="K4" i="29"/>
  <c r="I10" i="18"/>
  <c r="G12" i="18"/>
  <c r="I18" i="22"/>
  <c r="G6" i="24"/>
  <c r="I10" i="24"/>
  <c r="I25" i="24"/>
  <c r="G4" i="24"/>
  <c r="G4" i="29"/>
  <c r="I5" i="18"/>
  <c r="K18" i="24"/>
  <c r="G4" i="22"/>
  <c r="K16" i="22"/>
  <c r="C13" i="24"/>
  <c r="G13" i="24"/>
  <c r="K21" i="24"/>
  <c r="I16" i="24"/>
  <c r="G22" i="24"/>
  <c r="K22" i="24"/>
  <c r="E14" i="29"/>
  <c r="C23" i="18"/>
  <c r="E5" i="20"/>
  <c r="K17" i="22"/>
  <c r="C7" i="24"/>
  <c r="I5" i="24"/>
  <c r="C17" i="18"/>
  <c r="K18" i="22"/>
  <c r="E6" i="24"/>
  <c r="I6" i="24"/>
  <c r="K8" i="24"/>
  <c r="I18" i="24"/>
  <c r="K23" i="24"/>
  <c r="U10" i="26"/>
  <c r="E4" i="29"/>
  <c r="I4" i="29"/>
  <c r="C14" i="29"/>
  <c r="I19" i="24"/>
  <c r="U6" i="26"/>
  <c r="C4" i="29"/>
  <c r="K17" i="29"/>
  <c r="I11" i="18"/>
  <c r="G6" i="18"/>
  <c r="K19" i="22"/>
  <c r="E9" i="24"/>
  <c r="K24" i="24"/>
  <c r="G7" i="18"/>
  <c r="E21" i="18"/>
  <c r="I17" i="22"/>
  <c r="E10" i="24"/>
  <c r="I9" i="24"/>
  <c r="I24" i="24"/>
  <c r="E4" i="24"/>
  <c r="I19" i="25"/>
  <c r="J5" i="26"/>
  <c r="M6" i="26" s="1"/>
  <c r="G14" i="29"/>
  <c r="R16" i="23"/>
  <c r="U17" i="23" s="1"/>
  <c r="N16" i="23"/>
  <c r="Q19" i="23" s="1"/>
  <c r="M16" i="23"/>
  <c r="Q5" i="23"/>
  <c r="U5" i="23"/>
  <c r="M5" i="23"/>
  <c r="I5" i="23"/>
  <c r="E4" i="21"/>
  <c r="M8" i="26"/>
  <c r="I9" i="26"/>
  <c r="I8" i="26"/>
  <c r="K9" i="18"/>
  <c r="E25" i="24"/>
  <c r="K4" i="25"/>
  <c r="G15" i="25"/>
  <c r="U8" i="26"/>
  <c r="C9" i="18"/>
  <c r="E7" i="18"/>
  <c r="G5" i="18"/>
  <c r="G11" i="18"/>
  <c r="I9" i="18"/>
  <c r="K7" i="18"/>
  <c r="C16" i="18"/>
  <c r="C18" i="18"/>
  <c r="E20" i="18"/>
  <c r="G18" i="18"/>
  <c r="I4" i="21"/>
  <c r="I14" i="21"/>
  <c r="I13" i="21"/>
  <c r="I15" i="21"/>
  <c r="I16" i="21"/>
  <c r="I16" i="22"/>
  <c r="K15" i="22"/>
  <c r="K21" i="22"/>
  <c r="E5" i="23"/>
  <c r="C5" i="24"/>
  <c r="C8" i="24"/>
  <c r="E8" i="24"/>
  <c r="G5" i="24"/>
  <c r="G11" i="24"/>
  <c r="K5" i="24"/>
  <c r="K11" i="24"/>
  <c r="C23" i="24"/>
  <c r="E17" i="24"/>
  <c r="E23" i="24"/>
  <c r="G20" i="24"/>
  <c r="I17" i="24"/>
  <c r="I23" i="24"/>
  <c r="K20" i="24"/>
  <c r="C4" i="24"/>
  <c r="E16" i="24"/>
  <c r="I4" i="25"/>
  <c r="E15" i="25"/>
  <c r="I18" i="25"/>
  <c r="K16" i="25"/>
  <c r="K16" i="29"/>
  <c r="K18" i="29"/>
  <c r="K8" i="18"/>
  <c r="C22" i="18"/>
  <c r="C12" i="24"/>
  <c r="C6" i="24"/>
  <c r="C21" i="24"/>
  <c r="C12" i="18"/>
  <c r="C6" i="18"/>
  <c r="E10" i="18"/>
  <c r="G8" i="18"/>
  <c r="I6" i="18"/>
  <c r="I12" i="18"/>
  <c r="K10" i="18"/>
  <c r="C21" i="18"/>
  <c r="E17" i="18"/>
  <c r="E23" i="18"/>
  <c r="G21" i="18"/>
  <c r="I5" i="19"/>
  <c r="C4" i="21"/>
  <c r="E16" i="23"/>
  <c r="I16" i="23"/>
  <c r="C11" i="24"/>
  <c r="E5" i="24"/>
  <c r="E11" i="24"/>
  <c r="G8" i="24"/>
  <c r="C17" i="24"/>
  <c r="C20" i="24"/>
  <c r="E20" i="24"/>
  <c r="G17" i="24"/>
  <c r="G23" i="24"/>
  <c r="I20" i="24"/>
  <c r="C15" i="25"/>
  <c r="I21" i="25"/>
  <c r="K21" i="25"/>
  <c r="K19" i="29"/>
  <c r="C22" i="24"/>
  <c r="G4" i="21"/>
  <c r="E4" i="25"/>
  <c r="C11" i="18"/>
  <c r="E5" i="18"/>
  <c r="E11" i="18"/>
  <c r="G9" i="18"/>
  <c r="I7" i="18"/>
  <c r="K5" i="18"/>
  <c r="K11" i="18"/>
  <c r="C20" i="18"/>
  <c r="E18" i="18"/>
  <c r="G16" i="18"/>
  <c r="G22" i="18"/>
  <c r="M5" i="19"/>
  <c r="I4" i="22"/>
  <c r="G14" i="22"/>
  <c r="C10" i="24"/>
  <c r="E12" i="24"/>
  <c r="G9" i="24"/>
  <c r="C25" i="24"/>
  <c r="C19" i="24"/>
  <c r="E21" i="24"/>
  <c r="G18" i="24"/>
  <c r="G24" i="24"/>
  <c r="I21" i="24"/>
  <c r="K4" i="24"/>
  <c r="G4" i="25"/>
  <c r="I16" i="25"/>
  <c r="I22" i="25"/>
  <c r="K20" i="29"/>
  <c r="K15" i="21"/>
  <c r="K14" i="21"/>
  <c r="K16" i="21"/>
  <c r="K13" i="21"/>
  <c r="E19" i="24"/>
  <c r="E6" i="18"/>
  <c r="K6" i="18"/>
  <c r="G17" i="18"/>
  <c r="Q5" i="19"/>
  <c r="K4" i="21"/>
  <c r="G14" i="21"/>
  <c r="G17" i="21"/>
  <c r="G13" i="21"/>
  <c r="G15" i="21"/>
  <c r="G16" i="21"/>
  <c r="I15" i="22"/>
  <c r="I14" i="22" s="1"/>
  <c r="E7" i="24"/>
  <c r="I7" i="24"/>
  <c r="C24" i="24"/>
  <c r="C18" i="24"/>
  <c r="G19" i="24"/>
  <c r="K19" i="24"/>
  <c r="I17" i="25"/>
  <c r="K15" i="29"/>
  <c r="H14" i="29"/>
  <c r="I15" i="29" s="1"/>
  <c r="F14" i="26"/>
  <c r="I19" i="26" s="1"/>
  <c r="R14" i="26"/>
  <c r="U15" i="26" s="1"/>
  <c r="B5" i="26"/>
  <c r="E9" i="26" s="1"/>
  <c r="N5" i="26"/>
  <c r="Q10" i="26" s="1"/>
  <c r="B14" i="26"/>
  <c r="E15" i="26" s="1"/>
  <c r="J14" i="26"/>
  <c r="M15" i="26" s="1"/>
  <c r="N14" i="26"/>
  <c r="Q19" i="26" s="1"/>
  <c r="K18" i="25"/>
  <c r="K22" i="25"/>
  <c r="K19" i="25"/>
  <c r="K16" i="24"/>
  <c r="E4" i="22"/>
  <c r="K4" i="22"/>
  <c r="C14" i="22"/>
  <c r="E14" i="22"/>
  <c r="C4" i="22"/>
  <c r="C5" i="20"/>
  <c r="C8" i="20"/>
  <c r="E6" i="20"/>
  <c r="E10" i="20"/>
  <c r="C9" i="20"/>
  <c r="C7" i="20"/>
  <c r="E7" i="20"/>
  <c r="C10" i="20"/>
  <c r="C6" i="20"/>
  <c r="E8" i="20"/>
  <c r="K16" i="18"/>
  <c r="K21" i="18"/>
  <c r="K18" i="18"/>
  <c r="K22" i="18"/>
  <c r="K20" i="18"/>
  <c r="K17" i="18"/>
  <c r="K19" i="18"/>
  <c r="H15" i="18"/>
  <c r="I20" i="18" s="1"/>
  <c r="C12" i="16"/>
  <c r="F11" i="16"/>
  <c r="G15" i="16" s="1"/>
  <c r="D11" i="16"/>
  <c r="E15" i="16" s="1"/>
  <c r="B11" i="16"/>
  <c r="C15" i="16" s="1"/>
  <c r="J4" i="16"/>
  <c r="K5" i="16" s="1"/>
  <c r="H4" i="16"/>
  <c r="I8" i="16" s="1"/>
  <c r="F4" i="16"/>
  <c r="G6" i="16" s="1"/>
  <c r="D4" i="16"/>
  <c r="E5" i="16" s="1"/>
  <c r="B4" i="16"/>
  <c r="C6" i="16" s="1"/>
  <c r="J11" i="16"/>
  <c r="K15" i="16" s="1"/>
  <c r="H15" i="16"/>
  <c r="H14" i="16"/>
  <c r="H13" i="16"/>
  <c r="H12" i="16"/>
  <c r="E11" i="20" l="1"/>
  <c r="F11" i="20" s="1"/>
  <c r="K6" i="16"/>
  <c r="C15" i="18"/>
  <c r="M9" i="26"/>
  <c r="K7" i="16"/>
  <c r="C4" i="18"/>
  <c r="I5" i="26"/>
  <c r="U5" i="26"/>
  <c r="M10" i="26"/>
  <c r="U23" i="23"/>
  <c r="E10" i="26"/>
  <c r="C8" i="16"/>
  <c r="E6" i="16"/>
  <c r="H11" i="16"/>
  <c r="I15" i="16" s="1"/>
  <c r="E8" i="16"/>
  <c r="K4" i="18"/>
  <c r="I16" i="26"/>
  <c r="C5" i="16"/>
  <c r="G12" i="16"/>
  <c r="I4" i="18"/>
  <c r="E16" i="26"/>
  <c r="G15" i="18"/>
  <c r="I20" i="29"/>
  <c r="M7" i="26"/>
  <c r="Q9" i="26"/>
  <c r="C7" i="16"/>
  <c r="C4" i="16" s="1"/>
  <c r="I18" i="26"/>
  <c r="I15" i="25"/>
  <c r="U18" i="26"/>
  <c r="E7" i="16"/>
  <c r="U18" i="23"/>
  <c r="U20" i="23"/>
  <c r="Q23" i="23"/>
  <c r="U21" i="23"/>
  <c r="U19" i="23"/>
  <c r="U22" i="23"/>
  <c r="Q17" i="23"/>
  <c r="Q20" i="23"/>
  <c r="Q22" i="23"/>
  <c r="Q21" i="23"/>
  <c r="Q18" i="23"/>
  <c r="I12" i="21"/>
  <c r="G8" i="16"/>
  <c r="K8" i="16"/>
  <c r="K4" i="16" s="1"/>
  <c r="G5" i="16"/>
  <c r="E6" i="26"/>
  <c r="E7" i="26"/>
  <c r="E8" i="26"/>
  <c r="G7" i="16"/>
  <c r="K12" i="16"/>
  <c r="Q16" i="26"/>
  <c r="Q15" i="26"/>
  <c r="K12" i="21"/>
  <c r="Q18" i="26"/>
  <c r="I19" i="29"/>
  <c r="I17" i="26"/>
  <c r="I15" i="26"/>
  <c r="K14" i="22"/>
  <c r="I16" i="29"/>
  <c r="M19" i="26"/>
  <c r="M17" i="26"/>
  <c r="I5" i="16"/>
  <c r="I17" i="29"/>
  <c r="I6" i="16"/>
  <c r="Q6" i="26"/>
  <c r="Q8" i="26"/>
  <c r="Q7" i="26"/>
  <c r="I21" i="29"/>
  <c r="M16" i="26"/>
  <c r="E18" i="26"/>
  <c r="E19" i="26"/>
  <c r="G12" i="21"/>
  <c r="K14" i="29"/>
  <c r="I18" i="29"/>
  <c r="I7" i="16"/>
  <c r="I21" i="18"/>
  <c r="I17" i="18"/>
  <c r="I19" i="18"/>
  <c r="I23" i="18"/>
  <c r="I22" i="18"/>
  <c r="I18" i="18"/>
  <c r="K15" i="25"/>
  <c r="U17" i="26"/>
  <c r="U16" i="26"/>
  <c r="U19" i="26"/>
  <c r="M18" i="26"/>
  <c r="I16" i="18"/>
  <c r="Q17" i="26"/>
  <c r="E17" i="26"/>
  <c r="K15" i="18"/>
  <c r="E4" i="18"/>
  <c r="E15" i="18"/>
  <c r="G4" i="18"/>
  <c r="C13" i="16"/>
  <c r="E13" i="16"/>
  <c r="G13" i="16"/>
  <c r="I13" i="16"/>
  <c r="K13" i="16"/>
  <c r="C14" i="16"/>
  <c r="E14" i="16"/>
  <c r="G14" i="16"/>
  <c r="K14" i="16"/>
  <c r="E12" i="16"/>
  <c r="F4" i="20" l="1"/>
  <c r="K11" i="16"/>
  <c r="E5" i="26"/>
  <c r="M5" i="26"/>
  <c r="E4" i="16"/>
  <c r="U14" i="26"/>
  <c r="I14" i="16"/>
  <c r="C11" i="16"/>
  <c r="E14" i="26"/>
  <c r="I14" i="26"/>
  <c r="I12" i="16"/>
  <c r="M14" i="26"/>
  <c r="I14" i="29"/>
  <c r="U16" i="23"/>
  <c r="Q16" i="23"/>
  <c r="Q5" i="26"/>
  <c r="Q14" i="26"/>
  <c r="G11" i="16"/>
  <c r="I4" i="16"/>
  <c r="G4" i="16"/>
  <c r="I15" i="18"/>
  <c r="E11" i="16"/>
  <c r="J14" i="14"/>
  <c r="K16" i="14" s="1"/>
  <c r="H14" i="14"/>
  <c r="I18" i="14" s="1"/>
  <c r="F14" i="14"/>
  <c r="G19" i="14" s="1"/>
  <c r="D14" i="14"/>
  <c r="E20" i="14" s="1"/>
  <c r="B14" i="14"/>
  <c r="C17" i="14" s="1"/>
  <c r="C15" i="13"/>
  <c r="C16" i="13"/>
  <c r="K8" i="13"/>
  <c r="H12" i="13"/>
  <c r="I14" i="13" s="1"/>
  <c r="F12" i="13"/>
  <c r="G17" i="13" s="1"/>
  <c r="D12" i="13"/>
  <c r="E16" i="13" s="1"/>
  <c r="B12" i="13"/>
  <c r="C17" i="13" s="1"/>
  <c r="J4" i="13"/>
  <c r="K5" i="13" s="1"/>
  <c r="H4" i="13"/>
  <c r="I9" i="13" s="1"/>
  <c r="F4" i="13"/>
  <c r="G9" i="13" s="1"/>
  <c r="D4" i="13"/>
  <c r="E9" i="13" s="1"/>
  <c r="B4" i="13"/>
  <c r="C7" i="13" s="1"/>
  <c r="J12" i="13"/>
  <c r="K13" i="13" s="1"/>
  <c r="G15" i="12"/>
  <c r="I8" i="12"/>
  <c r="G10" i="12"/>
  <c r="H14" i="12"/>
  <c r="I18" i="12" s="1"/>
  <c r="F14" i="12"/>
  <c r="G19" i="12" s="1"/>
  <c r="D14" i="12"/>
  <c r="E20" i="12" s="1"/>
  <c r="B14" i="12"/>
  <c r="C16" i="12" s="1"/>
  <c r="J4" i="12"/>
  <c r="K6" i="12" s="1"/>
  <c r="H4" i="12"/>
  <c r="I7" i="12" s="1"/>
  <c r="F4" i="12"/>
  <c r="G8" i="12" s="1"/>
  <c r="D4" i="12"/>
  <c r="E9" i="12" s="1"/>
  <c r="B4" i="12"/>
  <c r="C7" i="12" s="1"/>
  <c r="J14" i="12"/>
  <c r="K17" i="12" s="1"/>
  <c r="R15" i="11"/>
  <c r="G6" i="20" l="1"/>
  <c r="G8" i="20"/>
  <c r="G10" i="20"/>
  <c r="G7" i="20"/>
  <c r="G5" i="20"/>
  <c r="G9" i="20"/>
  <c r="G11" i="20"/>
  <c r="H11" i="20" s="1"/>
  <c r="E17" i="13"/>
  <c r="E10" i="12"/>
  <c r="E11" i="12"/>
  <c r="E15" i="12"/>
  <c r="G9" i="12"/>
  <c r="E21" i="12"/>
  <c r="C6" i="13"/>
  <c r="C14" i="13"/>
  <c r="C16" i="14"/>
  <c r="E21" i="14"/>
  <c r="C5" i="12"/>
  <c r="I9" i="12"/>
  <c r="I19" i="12"/>
  <c r="I7" i="13"/>
  <c r="I13" i="13"/>
  <c r="C15" i="14"/>
  <c r="K19" i="14"/>
  <c r="E15" i="14"/>
  <c r="I5" i="13"/>
  <c r="G21" i="12"/>
  <c r="I6" i="13"/>
  <c r="I19" i="14"/>
  <c r="C6" i="12"/>
  <c r="K7" i="12"/>
  <c r="I20" i="12"/>
  <c r="K6" i="13"/>
  <c r="K14" i="13"/>
  <c r="C21" i="14"/>
  <c r="I11" i="16"/>
  <c r="G5" i="13"/>
  <c r="E16" i="14"/>
  <c r="G20" i="12"/>
  <c r="E5" i="12"/>
  <c r="K8" i="12"/>
  <c r="K7" i="13"/>
  <c r="K4" i="13" s="1"/>
  <c r="K15" i="13"/>
  <c r="C20" i="14"/>
  <c r="K18" i="14"/>
  <c r="K17" i="14"/>
  <c r="C21" i="12"/>
  <c r="C11" i="12"/>
  <c r="G13" i="13"/>
  <c r="G21" i="14"/>
  <c r="C10" i="12"/>
  <c r="E6" i="12"/>
  <c r="G5" i="12"/>
  <c r="G11" i="12"/>
  <c r="I10" i="12"/>
  <c r="K9" i="12"/>
  <c r="C19" i="12"/>
  <c r="E17" i="12"/>
  <c r="G16" i="12"/>
  <c r="I15" i="12"/>
  <c r="I21" i="12"/>
  <c r="K20" i="12"/>
  <c r="C5" i="13"/>
  <c r="E6" i="13"/>
  <c r="G7" i="13"/>
  <c r="I8" i="13"/>
  <c r="K9" i="13"/>
  <c r="E13" i="13"/>
  <c r="G14" i="13"/>
  <c r="I15" i="13"/>
  <c r="K16" i="13"/>
  <c r="C19" i="14"/>
  <c r="E17" i="14"/>
  <c r="G16" i="14"/>
  <c r="I15" i="14"/>
  <c r="I21" i="14"/>
  <c r="K20" i="14"/>
  <c r="G15" i="14"/>
  <c r="C9" i="12"/>
  <c r="E7" i="12"/>
  <c r="G6" i="12"/>
  <c r="I5" i="12"/>
  <c r="I11" i="12"/>
  <c r="K10" i="12"/>
  <c r="C18" i="12"/>
  <c r="E18" i="12"/>
  <c r="G17" i="12"/>
  <c r="I16" i="12"/>
  <c r="K15" i="12"/>
  <c r="K21" i="12"/>
  <c r="C9" i="13"/>
  <c r="E7" i="13"/>
  <c r="G8" i="13"/>
  <c r="C13" i="13"/>
  <c r="E14" i="13"/>
  <c r="G15" i="13"/>
  <c r="I16" i="13"/>
  <c r="K17" i="13"/>
  <c r="C18" i="14"/>
  <c r="C14" i="14" s="1"/>
  <c r="E18" i="14"/>
  <c r="G17" i="14"/>
  <c r="I16" i="14"/>
  <c r="K15" i="14"/>
  <c r="K21" i="14"/>
  <c r="K18" i="12"/>
  <c r="E16" i="12"/>
  <c r="K19" i="12"/>
  <c r="G6" i="13"/>
  <c r="C8" i="12"/>
  <c r="E8" i="12"/>
  <c r="G7" i="12"/>
  <c r="I6" i="12"/>
  <c r="K5" i="12"/>
  <c r="K11" i="12"/>
  <c r="C17" i="12"/>
  <c r="E19" i="12"/>
  <c r="G18" i="12"/>
  <c r="I17" i="12"/>
  <c r="K16" i="12"/>
  <c r="C8" i="13"/>
  <c r="E8" i="13"/>
  <c r="E15" i="13"/>
  <c r="G16" i="13"/>
  <c r="I17" i="13"/>
  <c r="E19" i="14"/>
  <c r="G18" i="14"/>
  <c r="I17" i="14"/>
  <c r="G20" i="14"/>
  <c r="C20" i="12"/>
  <c r="E5" i="13"/>
  <c r="I20" i="14"/>
  <c r="C15" i="12"/>
  <c r="N19" i="11"/>
  <c r="J19" i="11"/>
  <c r="F19" i="11"/>
  <c r="B19" i="11"/>
  <c r="R10" i="11"/>
  <c r="N10" i="11"/>
  <c r="J10" i="11"/>
  <c r="F10" i="11"/>
  <c r="B10" i="11"/>
  <c r="N18" i="11"/>
  <c r="J18" i="11"/>
  <c r="F18" i="11"/>
  <c r="B18" i="11"/>
  <c r="R9" i="11"/>
  <c r="U9" i="11" s="1"/>
  <c r="N9" i="11"/>
  <c r="J9" i="11"/>
  <c r="F9" i="11"/>
  <c r="B9" i="11"/>
  <c r="N16" i="11"/>
  <c r="J16" i="11"/>
  <c r="F16" i="11"/>
  <c r="B16" i="11"/>
  <c r="R7" i="11"/>
  <c r="N7" i="11"/>
  <c r="J7" i="11"/>
  <c r="F7" i="11"/>
  <c r="B7" i="11"/>
  <c r="N17" i="11"/>
  <c r="J17" i="11"/>
  <c r="F17" i="11"/>
  <c r="B17" i="11"/>
  <c r="R8" i="11"/>
  <c r="U8" i="11" s="1"/>
  <c r="N8" i="11"/>
  <c r="J8" i="11"/>
  <c r="F8" i="11"/>
  <c r="B8" i="11"/>
  <c r="N15" i="11"/>
  <c r="J15" i="11"/>
  <c r="F15" i="11"/>
  <c r="B15" i="11"/>
  <c r="R6" i="11"/>
  <c r="N6" i="11"/>
  <c r="J6" i="11"/>
  <c r="F6" i="11"/>
  <c r="B6" i="11"/>
  <c r="P14" i="11"/>
  <c r="O14" i="11"/>
  <c r="J14" i="11"/>
  <c r="F14" i="11"/>
  <c r="B14" i="11"/>
  <c r="R5" i="11"/>
  <c r="N5" i="11"/>
  <c r="J5" i="11"/>
  <c r="F5" i="11"/>
  <c r="B5" i="11"/>
  <c r="R19" i="11"/>
  <c r="R18" i="11"/>
  <c r="R16" i="11"/>
  <c r="R17" i="11"/>
  <c r="T14" i="11"/>
  <c r="S14" i="11"/>
  <c r="J16" i="10"/>
  <c r="K25" i="10" s="1"/>
  <c r="H16" i="10"/>
  <c r="I22" i="10" s="1"/>
  <c r="F16" i="10"/>
  <c r="G23" i="10" s="1"/>
  <c r="D16" i="10"/>
  <c r="E24" i="10" s="1"/>
  <c r="B16" i="10"/>
  <c r="C25" i="10" s="1"/>
  <c r="H4" i="20" l="1"/>
  <c r="I10" i="11"/>
  <c r="E14" i="14"/>
  <c r="M7" i="11"/>
  <c r="C12" i="13"/>
  <c r="G4" i="12"/>
  <c r="M10" i="11"/>
  <c r="I12" i="13"/>
  <c r="I14" i="12"/>
  <c r="G14" i="14"/>
  <c r="I6" i="11"/>
  <c r="M16" i="11"/>
  <c r="M6" i="11"/>
  <c r="E4" i="12"/>
  <c r="K4" i="12"/>
  <c r="I17" i="10"/>
  <c r="I14" i="14"/>
  <c r="I7" i="11"/>
  <c r="M19" i="11"/>
  <c r="K12" i="13"/>
  <c r="K14" i="14"/>
  <c r="I8" i="11"/>
  <c r="M17" i="11"/>
  <c r="I9" i="11"/>
  <c r="M8" i="11"/>
  <c r="M9" i="11"/>
  <c r="M15" i="11"/>
  <c r="E17" i="11"/>
  <c r="E18" i="11"/>
  <c r="E12" i="13"/>
  <c r="U6" i="11"/>
  <c r="U7" i="11"/>
  <c r="M18" i="11"/>
  <c r="U10" i="11"/>
  <c r="G12" i="13"/>
  <c r="C14" i="12"/>
  <c r="E15" i="11"/>
  <c r="E16" i="11"/>
  <c r="E19" i="11"/>
  <c r="E6" i="11"/>
  <c r="I15" i="11"/>
  <c r="Q8" i="11"/>
  <c r="E7" i="11"/>
  <c r="I16" i="11"/>
  <c r="Q9" i="11"/>
  <c r="E10" i="11"/>
  <c r="I19" i="11"/>
  <c r="C4" i="12"/>
  <c r="Q6" i="11"/>
  <c r="E8" i="11"/>
  <c r="I17" i="11"/>
  <c r="Q7" i="11"/>
  <c r="E9" i="11"/>
  <c r="I18" i="11"/>
  <c r="Q10" i="11"/>
  <c r="G14" i="12"/>
  <c r="K14" i="12"/>
  <c r="E14" i="12"/>
  <c r="C4" i="13"/>
  <c r="I4" i="13"/>
  <c r="E4" i="13"/>
  <c r="G4" i="13"/>
  <c r="I4" i="12"/>
  <c r="N14" i="11"/>
  <c r="Q19" i="11" s="1"/>
  <c r="R14" i="11"/>
  <c r="U15" i="11" s="1"/>
  <c r="I19" i="10"/>
  <c r="K22" i="10"/>
  <c r="I23" i="10"/>
  <c r="C18" i="10"/>
  <c r="E21" i="10"/>
  <c r="G24" i="10"/>
  <c r="E17" i="10"/>
  <c r="G20" i="10"/>
  <c r="K18" i="10"/>
  <c r="C22" i="10"/>
  <c r="E25" i="10"/>
  <c r="G17" i="10"/>
  <c r="E18" i="10"/>
  <c r="C19" i="10"/>
  <c r="K19" i="10"/>
  <c r="I20" i="10"/>
  <c r="G21" i="10"/>
  <c r="E22" i="10"/>
  <c r="C23" i="10"/>
  <c r="K23" i="10"/>
  <c r="I24" i="10"/>
  <c r="G25" i="10"/>
  <c r="G18" i="10"/>
  <c r="E19" i="10"/>
  <c r="C20" i="10"/>
  <c r="K20" i="10"/>
  <c r="I21" i="10"/>
  <c r="G22" i="10"/>
  <c r="E23" i="10"/>
  <c r="C24" i="10"/>
  <c r="K24" i="10"/>
  <c r="I25" i="10"/>
  <c r="C17" i="10"/>
  <c r="K17" i="10"/>
  <c r="I18" i="10"/>
  <c r="G19" i="10"/>
  <c r="E20" i="10"/>
  <c r="C21" i="10"/>
  <c r="K21" i="10"/>
  <c r="I8" i="20" l="1"/>
  <c r="I5" i="20"/>
  <c r="I9" i="20"/>
  <c r="I6" i="20"/>
  <c r="I7" i="20"/>
  <c r="I10" i="20"/>
  <c r="I11" i="20"/>
  <c r="J11" i="20" s="1"/>
  <c r="U5" i="11"/>
  <c r="M14" i="11"/>
  <c r="M5" i="11"/>
  <c r="E14" i="11"/>
  <c r="I14" i="11"/>
  <c r="U19" i="11"/>
  <c r="U16" i="11"/>
  <c r="U18" i="11"/>
  <c r="Q16" i="11"/>
  <c r="Q18" i="11"/>
  <c r="U17" i="11"/>
  <c r="Q15" i="11"/>
  <c r="Q17" i="11"/>
  <c r="Q5" i="11"/>
  <c r="I5" i="11"/>
  <c r="E5" i="11"/>
  <c r="I16" i="10"/>
  <c r="C16" i="10"/>
  <c r="E16" i="10"/>
  <c r="K16" i="10"/>
  <c r="G16" i="10"/>
  <c r="J4" i="20" l="1"/>
  <c r="U14" i="11"/>
  <c r="Q14" i="11"/>
  <c r="J18" i="8"/>
  <c r="J16" i="8"/>
  <c r="J17" i="8"/>
  <c r="H25" i="8"/>
  <c r="F25" i="8"/>
  <c r="H24" i="8"/>
  <c r="F24" i="8"/>
  <c r="H23" i="8"/>
  <c r="F23" i="8"/>
  <c r="H22" i="8"/>
  <c r="F22" i="8"/>
  <c r="H21" i="8"/>
  <c r="F21" i="8"/>
  <c r="H20" i="8"/>
  <c r="F20" i="8"/>
  <c r="H18" i="8"/>
  <c r="H17" i="8"/>
  <c r="D16" i="8"/>
  <c r="E25" i="8" s="1"/>
  <c r="B16" i="8"/>
  <c r="C17" i="8" s="1"/>
  <c r="J4" i="8"/>
  <c r="K9" i="8" s="1"/>
  <c r="T4" i="7"/>
  <c r="U71" i="7" s="1"/>
  <c r="R7" i="7"/>
  <c r="P7" i="7"/>
  <c r="N7" i="7"/>
  <c r="L7" i="7"/>
  <c r="J7" i="7"/>
  <c r="H7" i="7"/>
  <c r="F7" i="7"/>
  <c r="D7" i="7"/>
  <c r="B7" i="7"/>
  <c r="R21" i="7"/>
  <c r="P21" i="7"/>
  <c r="N21" i="7"/>
  <c r="L21" i="7"/>
  <c r="J21" i="7"/>
  <c r="H21" i="7"/>
  <c r="F21" i="7"/>
  <c r="D21" i="7"/>
  <c r="B21" i="7"/>
  <c r="R23" i="7"/>
  <c r="P23" i="7"/>
  <c r="N23" i="7"/>
  <c r="L23" i="7"/>
  <c r="J23" i="7"/>
  <c r="H23" i="7"/>
  <c r="F23" i="7"/>
  <c r="D23" i="7"/>
  <c r="B23" i="7"/>
  <c r="P71" i="7"/>
  <c r="N71" i="7"/>
  <c r="L43" i="7"/>
  <c r="J43" i="7"/>
  <c r="P69" i="7"/>
  <c r="H69" i="7"/>
  <c r="R17" i="7"/>
  <c r="P17" i="7"/>
  <c r="N17" i="7"/>
  <c r="L17" i="7"/>
  <c r="J17" i="7"/>
  <c r="F17" i="7"/>
  <c r="D17" i="7"/>
  <c r="B17" i="7"/>
  <c r="R32" i="7"/>
  <c r="P32" i="7"/>
  <c r="N32" i="7"/>
  <c r="L32" i="7"/>
  <c r="J32" i="7"/>
  <c r="H32" i="7"/>
  <c r="F32" i="7"/>
  <c r="B32" i="7"/>
  <c r="R26" i="7"/>
  <c r="P26" i="7"/>
  <c r="N26" i="7"/>
  <c r="L26" i="7"/>
  <c r="H26" i="7"/>
  <c r="F26" i="7"/>
  <c r="D26" i="7"/>
  <c r="B26" i="7"/>
  <c r="R64" i="7"/>
  <c r="P64" i="7"/>
  <c r="N64" i="7"/>
  <c r="F64" i="7"/>
  <c r="D64" i="7"/>
  <c r="B64" i="7"/>
  <c r="N63" i="7"/>
  <c r="R13" i="7"/>
  <c r="P13" i="7"/>
  <c r="N13" i="7"/>
  <c r="L13" i="7"/>
  <c r="J13" i="7"/>
  <c r="H13" i="7"/>
  <c r="F13" i="7"/>
  <c r="D13" i="7"/>
  <c r="B13" i="7"/>
  <c r="R30" i="7"/>
  <c r="P30" i="7"/>
  <c r="N30" i="7"/>
  <c r="L30" i="7"/>
  <c r="J30" i="7"/>
  <c r="H30" i="7"/>
  <c r="F30" i="7"/>
  <c r="D30" i="7"/>
  <c r="B30" i="7"/>
  <c r="R5" i="7"/>
  <c r="P5" i="7"/>
  <c r="N5" i="7"/>
  <c r="L5" i="7"/>
  <c r="J5" i="7"/>
  <c r="H5" i="7"/>
  <c r="F5" i="7"/>
  <c r="D5" i="7"/>
  <c r="B5" i="7"/>
  <c r="R6" i="7"/>
  <c r="P6" i="7"/>
  <c r="N6" i="7"/>
  <c r="L6" i="7"/>
  <c r="J6" i="7"/>
  <c r="H6" i="7"/>
  <c r="F6" i="7"/>
  <c r="D6" i="7"/>
  <c r="B6" i="7"/>
  <c r="R36" i="7"/>
  <c r="P36" i="7"/>
  <c r="L36" i="7"/>
  <c r="J36" i="7"/>
  <c r="H36" i="7"/>
  <c r="F36" i="7"/>
  <c r="D36" i="7"/>
  <c r="B36" i="7"/>
  <c r="R42" i="7"/>
  <c r="P42" i="7"/>
  <c r="F42" i="7"/>
  <c r="D42" i="7"/>
  <c r="R58" i="7"/>
  <c r="P58" i="7"/>
  <c r="N58" i="7"/>
  <c r="H58" i="7"/>
  <c r="F58" i="7"/>
  <c r="D58" i="7"/>
  <c r="R19" i="7"/>
  <c r="P19" i="7"/>
  <c r="N19" i="7"/>
  <c r="L19" i="7"/>
  <c r="J19" i="7"/>
  <c r="H19" i="7"/>
  <c r="F19" i="7"/>
  <c r="D19" i="7"/>
  <c r="B19" i="7"/>
  <c r="R33" i="7"/>
  <c r="P33" i="7"/>
  <c r="L33" i="7"/>
  <c r="J33" i="7"/>
  <c r="H33" i="7"/>
  <c r="F33" i="7"/>
  <c r="D33" i="7"/>
  <c r="B33" i="7"/>
  <c r="R35" i="7"/>
  <c r="P35" i="7"/>
  <c r="N35" i="7"/>
  <c r="L35" i="7"/>
  <c r="J35" i="7"/>
  <c r="H35" i="7"/>
  <c r="F35" i="7"/>
  <c r="D35" i="7"/>
  <c r="B35" i="7"/>
  <c r="R29" i="7"/>
  <c r="P29" i="7"/>
  <c r="N29" i="7"/>
  <c r="L29" i="7"/>
  <c r="J29" i="7"/>
  <c r="H29" i="7"/>
  <c r="F29" i="7"/>
  <c r="B29" i="7"/>
  <c r="R57" i="7"/>
  <c r="R34" i="7"/>
  <c r="P34" i="7"/>
  <c r="N34" i="7"/>
  <c r="L34" i="7"/>
  <c r="H34" i="7"/>
  <c r="F34" i="7"/>
  <c r="B34" i="7"/>
  <c r="J38" i="7"/>
  <c r="R56" i="7"/>
  <c r="P56" i="7"/>
  <c r="J56" i="7"/>
  <c r="F56" i="7"/>
  <c r="B56" i="7"/>
  <c r="R18" i="7"/>
  <c r="P18" i="7"/>
  <c r="N18" i="7"/>
  <c r="L18" i="7"/>
  <c r="J18" i="7"/>
  <c r="H18" i="7"/>
  <c r="F18" i="7"/>
  <c r="D18" i="7"/>
  <c r="B18" i="7"/>
  <c r="R39" i="7"/>
  <c r="P39" i="7"/>
  <c r="N39" i="7"/>
  <c r="R15" i="7"/>
  <c r="P15" i="7"/>
  <c r="N15" i="7"/>
  <c r="L15" i="7"/>
  <c r="J15" i="7"/>
  <c r="H15" i="7"/>
  <c r="F15" i="7"/>
  <c r="D15" i="7"/>
  <c r="B15" i="7"/>
  <c r="R55" i="7"/>
  <c r="P55" i="7"/>
  <c r="N55" i="7"/>
  <c r="L55" i="7"/>
  <c r="J55" i="7"/>
  <c r="H55" i="7"/>
  <c r="F55" i="7"/>
  <c r="D55" i="7"/>
  <c r="R54" i="7"/>
  <c r="R31" i="7"/>
  <c r="P31" i="7"/>
  <c r="N31" i="7"/>
  <c r="J31" i="7"/>
  <c r="R37" i="7"/>
  <c r="R53" i="7"/>
  <c r="P53" i="7"/>
  <c r="N53" i="7"/>
  <c r="R14" i="7"/>
  <c r="P14" i="7"/>
  <c r="N14" i="7"/>
  <c r="L14" i="7"/>
  <c r="J14" i="7"/>
  <c r="H14" i="7"/>
  <c r="F14" i="7"/>
  <c r="D14" i="7"/>
  <c r="B14" i="7"/>
  <c r="R20" i="7"/>
  <c r="P20" i="7"/>
  <c r="N20" i="7"/>
  <c r="L20" i="7"/>
  <c r="J20" i="7"/>
  <c r="H20" i="7"/>
  <c r="F20" i="7"/>
  <c r="D20" i="7"/>
  <c r="B20" i="7"/>
  <c r="R52" i="7"/>
  <c r="P52" i="7"/>
  <c r="N52" i="7"/>
  <c r="H52" i="7"/>
  <c r="R12" i="7"/>
  <c r="P12" i="7"/>
  <c r="N12" i="7"/>
  <c r="L12" i="7"/>
  <c r="J12" i="7"/>
  <c r="H12" i="7"/>
  <c r="F12" i="7"/>
  <c r="D12" i="7"/>
  <c r="B12" i="7"/>
  <c r="R25" i="7"/>
  <c r="P25" i="7"/>
  <c r="N25" i="7"/>
  <c r="L25" i="7"/>
  <c r="J25" i="7"/>
  <c r="F25" i="7"/>
  <c r="D25" i="7"/>
  <c r="B25" i="7"/>
  <c r="R27" i="7"/>
  <c r="P27" i="7"/>
  <c r="N27" i="7"/>
  <c r="L27" i="7"/>
  <c r="J27" i="7"/>
  <c r="H27" i="7"/>
  <c r="F27" i="7"/>
  <c r="D27" i="7"/>
  <c r="B27" i="7"/>
  <c r="R8" i="7"/>
  <c r="P8" i="7"/>
  <c r="N8" i="7"/>
  <c r="L8" i="7"/>
  <c r="J8" i="7"/>
  <c r="H8" i="7"/>
  <c r="F8" i="7"/>
  <c r="D8" i="7"/>
  <c r="B8" i="7"/>
  <c r="R22" i="7"/>
  <c r="P22" i="7"/>
  <c r="N22" i="7"/>
  <c r="L22" i="7"/>
  <c r="J22" i="7"/>
  <c r="H22" i="7"/>
  <c r="F22" i="7"/>
  <c r="D22" i="7"/>
  <c r="B22" i="7"/>
  <c r="R28" i="7"/>
  <c r="P28" i="7"/>
  <c r="N28" i="7"/>
  <c r="L28" i="7"/>
  <c r="J28" i="7"/>
  <c r="H28" i="7"/>
  <c r="F28" i="7"/>
  <c r="D28" i="7"/>
  <c r="B28" i="7"/>
  <c r="R9" i="7"/>
  <c r="P9" i="7"/>
  <c r="N9" i="7"/>
  <c r="L9" i="7"/>
  <c r="J9" i="7"/>
  <c r="H9" i="7"/>
  <c r="F9" i="7"/>
  <c r="D9" i="7"/>
  <c r="B9" i="7"/>
  <c r="R11" i="7"/>
  <c r="P11" i="7"/>
  <c r="N11" i="7"/>
  <c r="L11" i="7"/>
  <c r="J11" i="7"/>
  <c r="H11" i="7"/>
  <c r="F11" i="7"/>
  <c r="D11" i="7"/>
  <c r="B11" i="7"/>
  <c r="R16" i="7"/>
  <c r="P16" i="7"/>
  <c r="N16" i="7"/>
  <c r="L16" i="7"/>
  <c r="J16" i="7"/>
  <c r="H16" i="7"/>
  <c r="F16" i="7"/>
  <c r="D16" i="7"/>
  <c r="B16" i="7"/>
  <c r="R24" i="7"/>
  <c r="P24" i="7"/>
  <c r="N24" i="7"/>
  <c r="L24" i="7"/>
  <c r="J24" i="7"/>
  <c r="H24" i="7"/>
  <c r="F24" i="7"/>
  <c r="D24" i="7"/>
  <c r="B24" i="7"/>
  <c r="R45" i="7"/>
  <c r="P45" i="7"/>
  <c r="L45" i="7"/>
  <c r="R10" i="7"/>
  <c r="P10" i="7"/>
  <c r="N10" i="7"/>
  <c r="L10" i="7"/>
  <c r="J10" i="7"/>
  <c r="H10" i="7"/>
  <c r="F10" i="7"/>
  <c r="D10" i="7"/>
  <c r="B10" i="7"/>
  <c r="L44" i="7"/>
  <c r="K8" i="20" l="1"/>
  <c r="K7" i="20"/>
  <c r="K6" i="20"/>
  <c r="K10" i="20"/>
  <c r="K5" i="20"/>
  <c r="K9" i="20"/>
  <c r="K11" i="20"/>
  <c r="U23" i="7"/>
  <c r="K12" i="8"/>
  <c r="U35" i="7"/>
  <c r="K11" i="8"/>
  <c r="K4" i="8"/>
  <c r="U46" i="7"/>
  <c r="K10" i="8"/>
  <c r="C18" i="8"/>
  <c r="K6" i="8"/>
  <c r="K5" i="8"/>
  <c r="U58" i="7"/>
  <c r="K8" i="8"/>
  <c r="U11" i="7"/>
  <c r="K13" i="8"/>
  <c r="U70" i="7"/>
  <c r="K7" i="8"/>
  <c r="P4" i="7"/>
  <c r="Q42" i="7" s="1"/>
  <c r="J4" i="7"/>
  <c r="K20" i="7" s="1"/>
  <c r="B4" i="7"/>
  <c r="C22" i="7" s="1"/>
  <c r="F4" i="7"/>
  <c r="G12" i="7" s="1"/>
  <c r="R4" i="7"/>
  <c r="S54" i="7" s="1"/>
  <c r="D4" i="7"/>
  <c r="E27" i="7" s="1"/>
  <c r="H4" i="7"/>
  <c r="I55" i="7" s="1"/>
  <c r="N4" i="7"/>
  <c r="O8" i="7" s="1"/>
  <c r="U7" i="7"/>
  <c r="U19" i="7"/>
  <c r="U31" i="7"/>
  <c r="U42" i="7"/>
  <c r="U54" i="7"/>
  <c r="U66" i="7"/>
  <c r="U12" i="7"/>
  <c r="U24" i="7"/>
  <c r="U36" i="7"/>
  <c r="U47" i="7"/>
  <c r="U59" i="7"/>
  <c r="U69" i="7"/>
  <c r="U63" i="7"/>
  <c r="U57" i="7"/>
  <c r="U51" i="7"/>
  <c r="U45" i="7"/>
  <c r="U40" i="7"/>
  <c r="U34" i="7"/>
  <c r="U28" i="7"/>
  <c r="U22" i="7"/>
  <c r="U16" i="7"/>
  <c r="U10" i="7"/>
  <c r="U74" i="7"/>
  <c r="U68" i="7"/>
  <c r="U62" i="7"/>
  <c r="U56" i="7"/>
  <c r="U50" i="7"/>
  <c r="U44" i="7"/>
  <c r="U39" i="7"/>
  <c r="U33" i="7"/>
  <c r="U27" i="7"/>
  <c r="U21" i="7"/>
  <c r="U15" i="7"/>
  <c r="U9" i="7"/>
  <c r="U73" i="7"/>
  <c r="U67" i="7"/>
  <c r="U61" i="7"/>
  <c r="U55" i="7"/>
  <c r="U49" i="7"/>
  <c r="U43" i="7"/>
  <c r="U38" i="7"/>
  <c r="U32" i="7"/>
  <c r="U26" i="7"/>
  <c r="U20" i="7"/>
  <c r="U14" i="7"/>
  <c r="U8" i="7"/>
  <c r="U13" i="7"/>
  <c r="U25" i="7"/>
  <c r="U37" i="7"/>
  <c r="U48" i="7"/>
  <c r="U60" i="7"/>
  <c r="U72" i="7"/>
  <c r="K17" i="7"/>
  <c r="U5" i="7"/>
  <c r="U17" i="7"/>
  <c r="U29" i="7"/>
  <c r="U52" i="7"/>
  <c r="U64" i="7"/>
  <c r="E17" i="8"/>
  <c r="F16" i="8"/>
  <c r="G23" i="8" s="1"/>
  <c r="O13" i="7"/>
  <c r="Q32" i="7"/>
  <c r="L4" i="7"/>
  <c r="M13" i="7" s="1"/>
  <c r="U6" i="7"/>
  <c r="U18" i="7"/>
  <c r="U30" i="7"/>
  <c r="U41" i="7"/>
  <c r="U53" i="7"/>
  <c r="U65" i="7"/>
  <c r="C24" i="8"/>
  <c r="C22" i="8"/>
  <c r="C16" i="8"/>
  <c r="C20" i="8"/>
  <c r="G24" i="8"/>
  <c r="G19" i="8"/>
  <c r="G17" i="8"/>
  <c r="H16" i="8"/>
  <c r="I18" i="8" s="1"/>
  <c r="E18" i="8"/>
  <c r="C19" i="8"/>
  <c r="E20" i="8"/>
  <c r="E22" i="8"/>
  <c r="E24" i="8"/>
  <c r="E16" i="8"/>
  <c r="E19" i="8"/>
  <c r="C21" i="8"/>
  <c r="C23" i="8"/>
  <c r="C25" i="8"/>
  <c r="E21" i="8"/>
  <c r="E23" i="8"/>
  <c r="I28" i="7" l="1"/>
  <c r="I69" i="7"/>
  <c r="I13" i="7"/>
  <c r="G14" i="7"/>
  <c r="E42" i="7"/>
  <c r="M17" i="7"/>
  <c r="G9" i="7"/>
  <c r="M22" i="7"/>
  <c r="E6" i="7"/>
  <c r="E17" i="7"/>
  <c r="E58" i="7"/>
  <c r="E10" i="7"/>
  <c r="C56" i="7"/>
  <c r="I15" i="7"/>
  <c r="M21" i="7"/>
  <c r="I27" i="7"/>
  <c r="K21" i="7"/>
  <c r="K43" i="7"/>
  <c r="M27" i="7"/>
  <c r="C5" i="7"/>
  <c r="E64" i="7"/>
  <c r="S10" i="7"/>
  <c r="S26" i="7"/>
  <c r="S21" i="7"/>
  <c r="M29" i="7"/>
  <c r="S53" i="7"/>
  <c r="S31" i="7"/>
  <c r="M43" i="7"/>
  <c r="C10" i="7"/>
  <c r="C12" i="7"/>
  <c r="S57" i="7"/>
  <c r="I58" i="7"/>
  <c r="S9" i="7"/>
  <c r="S14" i="7"/>
  <c r="S18" i="7"/>
  <c r="S8" i="7"/>
  <c r="S5" i="7"/>
  <c r="Q7" i="7"/>
  <c r="M23" i="7"/>
  <c r="S17" i="7"/>
  <c r="C6" i="7"/>
  <c r="C34" i="7"/>
  <c r="S27" i="7"/>
  <c r="C15" i="7"/>
  <c r="M26" i="7"/>
  <c r="K29" i="7"/>
  <c r="G33" i="7"/>
  <c r="C35" i="7"/>
  <c r="K5" i="7"/>
  <c r="K38" i="7"/>
  <c r="S55" i="7"/>
  <c r="G28" i="7"/>
  <c r="C29" i="7"/>
  <c r="O23" i="7"/>
  <c r="Q35" i="7"/>
  <c r="O27" i="7"/>
  <c r="K15" i="7"/>
  <c r="K16" i="7"/>
  <c r="O25" i="7"/>
  <c r="Q20" i="7"/>
  <c r="Q64" i="7"/>
  <c r="O64" i="7"/>
  <c r="O34" i="7"/>
  <c r="Q55" i="7"/>
  <c r="Q11" i="7"/>
  <c r="Q56" i="7"/>
  <c r="Q69" i="7"/>
  <c r="Q26" i="7"/>
  <c r="Q71" i="7"/>
  <c r="K8" i="7"/>
  <c r="O12" i="7"/>
  <c r="Q34" i="7"/>
  <c r="Q13" i="7"/>
  <c r="Q18" i="7"/>
  <c r="O9" i="7"/>
  <c r="Q6" i="7"/>
  <c r="S37" i="7"/>
  <c r="Q53" i="7"/>
  <c r="Q16" i="7"/>
  <c r="Q5" i="7"/>
  <c r="Q15" i="7"/>
  <c r="K12" i="7"/>
  <c r="Q22" i="7"/>
  <c r="Q21" i="7"/>
  <c r="G25" i="8"/>
  <c r="K32" i="7"/>
  <c r="Q45" i="7"/>
  <c r="K14" i="7"/>
  <c r="M16" i="7"/>
  <c r="Q36" i="7"/>
  <c r="K55" i="7"/>
  <c r="S11" i="7"/>
  <c r="K19" i="7"/>
  <c r="Q25" i="7"/>
  <c r="K28" i="7"/>
  <c r="E20" i="7"/>
  <c r="O20" i="7"/>
  <c r="Q29" i="7"/>
  <c r="G20" i="8"/>
  <c r="S7" i="7"/>
  <c r="M5" i="7"/>
  <c r="M11" i="7"/>
  <c r="O16" i="7"/>
  <c r="K7" i="7"/>
  <c r="S58" i="7"/>
  <c r="S12" i="7"/>
  <c r="C36" i="7"/>
  <c r="Q31" i="7"/>
  <c r="C64" i="7"/>
  <c r="C33" i="7"/>
  <c r="K11" i="7"/>
  <c r="Q14" i="7"/>
  <c r="M18" i="7"/>
  <c r="Q24" i="7"/>
  <c r="C30" i="7"/>
  <c r="S16" i="7"/>
  <c r="O5" i="7"/>
  <c r="K23" i="7"/>
  <c r="S19" i="7"/>
  <c r="Q27" i="7"/>
  <c r="C21" i="7"/>
  <c r="Q58" i="7"/>
  <c r="Q12" i="7"/>
  <c r="K13" i="7"/>
  <c r="I35" i="7"/>
  <c r="O11" i="7"/>
  <c r="K24" i="7"/>
  <c r="Q9" i="7"/>
  <c r="Q52" i="7"/>
  <c r="M15" i="7"/>
  <c r="K18" i="7"/>
  <c r="G21" i="8"/>
  <c r="G18" i="8"/>
  <c r="G16" i="8" s="1"/>
  <c r="O7" i="7"/>
  <c r="G19" i="7"/>
  <c r="O58" i="7"/>
  <c r="Q17" i="7"/>
  <c r="K33" i="7"/>
  <c r="I24" i="7"/>
  <c r="I23" i="7"/>
  <c r="Q19" i="7"/>
  <c r="K25" i="7"/>
  <c r="Q30" i="7"/>
  <c r="Q39" i="7"/>
  <c r="C11" i="7"/>
  <c r="G26" i="7"/>
  <c r="K56" i="7"/>
  <c r="Q10" i="7"/>
  <c r="K9" i="7"/>
  <c r="O72" i="7"/>
  <c r="O66" i="7"/>
  <c r="O60" i="7"/>
  <c r="O54" i="7"/>
  <c r="O48" i="7"/>
  <c r="O42" i="7"/>
  <c r="O37" i="7"/>
  <c r="O65" i="7"/>
  <c r="O59" i="7"/>
  <c r="O47" i="7"/>
  <c r="O41" i="7"/>
  <c r="O36" i="7"/>
  <c r="O70" i="7"/>
  <c r="O46" i="7"/>
  <c r="O74" i="7"/>
  <c r="O62" i="7"/>
  <c r="O50" i="7"/>
  <c r="O73" i="7"/>
  <c r="O61" i="7"/>
  <c r="O49" i="7"/>
  <c r="O38" i="7"/>
  <c r="O69" i="7"/>
  <c r="O57" i="7"/>
  <c r="O45" i="7"/>
  <c r="O68" i="7"/>
  <c r="O56" i="7"/>
  <c r="O44" i="7"/>
  <c r="O33" i="7"/>
  <c r="O51" i="7"/>
  <c r="O40" i="7"/>
  <c r="O43" i="7"/>
  <c r="O32" i="7"/>
  <c r="O67" i="7"/>
  <c r="O63" i="7"/>
  <c r="G36" i="7"/>
  <c r="G35" i="7"/>
  <c r="I12" i="7"/>
  <c r="M44" i="7"/>
  <c r="G64" i="7"/>
  <c r="E72" i="7"/>
  <c r="E66" i="7"/>
  <c r="E60" i="7"/>
  <c r="E54" i="7"/>
  <c r="E48" i="7"/>
  <c r="E37" i="7"/>
  <c r="E31" i="7"/>
  <c r="E71" i="7"/>
  <c r="E65" i="7"/>
  <c r="E59" i="7"/>
  <c r="E53" i="7"/>
  <c r="E47" i="7"/>
  <c r="E41" i="7"/>
  <c r="E70" i="7"/>
  <c r="E52" i="7"/>
  <c r="E46" i="7"/>
  <c r="E29" i="7"/>
  <c r="E69" i="7"/>
  <c r="E63" i="7"/>
  <c r="E57" i="7"/>
  <c r="E51" i="7"/>
  <c r="E45" i="7"/>
  <c r="E40" i="7"/>
  <c r="E34" i="7"/>
  <c r="E73" i="7"/>
  <c r="E67" i="7"/>
  <c r="E74" i="7"/>
  <c r="E50" i="7"/>
  <c r="E61" i="7"/>
  <c r="E56" i="7"/>
  <c r="E68" i="7"/>
  <c r="E49" i="7"/>
  <c r="E32" i="7"/>
  <c r="E26" i="7"/>
  <c r="E39" i="7"/>
  <c r="E62" i="7"/>
  <c r="E44" i="7"/>
  <c r="E21" i="7"/>
  <c r="E38" i="7"/>
  <c r="E43" i="7"/>
  <c r="I32" i="7"/>
  <c r="S74" i="7"/>
  <c r="S68" i="7"/>
  <c r="S62" i="7"/>
  <c r="S50" i="7"/>
  <c r="S44" i="7"/>
  <c r="S73" i="7"/>
  <c r="S67" i="7"/>
  <c r="S61" i="7"/>
  <c r="S49" i="7"/>
  <c r="S43" i="7"/>
  <c r="S38" i="7"/>
  <c r="S72" i="7"/>
  <c r="S66" i="7"/>
  <c r="S60" i="7"/>
  <c r="S48" i="7"/>
  <c r="S63" i="7"/>
  <c r="S51" i="7"/>
  <c r="S40" i="7"/>
  <c r="S71" i="7"/>
  <c r="S59" i="7"/>
  <c r="S47" i="7"/>
  <c r="S70" i="7"/>
  <c r="S46" i="7"/>
  <c r="S65" i="7"/>
  <c r="S41" i="7"/>
  <c r="S45" i="7"/>
  <c r="S69" i="7"/>
  <c r="S34" i="7"/>
  <c r="E36" i="7"/>
  <c r="M55" i="7"/>
  <c r="I11" i="7"/>
  <c r="O19" i="7"/>
  <c r="G25" i="7"/>
  <c r="I26" i="7"/>
  <c r="O35" i="7"/>
  <c r="E12" i="7"/>
  <c r="M20" i="7"/>
  <c r="M32" i="7"/>
  <c r="I9" i="7"/>
  <c r="O10" i="7"/>
  <c r="S23" i="7"/>
  <c r="E33" i="7"/>
  <c r="E15" i="7"/>
  <c r="S39" i="7"/>
  <c r="E11" i="7"/>
  <c r="K22" i="7"/>
  <c r="E23" i="7"/>
  <c r="K36" i="7"/>
  <c r="G10" i="7"/>
  <c r="I63" i="7"/>
  <c r="I57" i="7"/>
  <c r="I51" i="7"/>
  <c r="I45" i="7"/>
  <c r="I40" i="7"/>
  <c r="I74" i="7"/>
  <c r="I68" i="7"/>
  <c r="I62" i="7"/>
  <c r="I56" i="7"/>
  <c r="I50" i="7"/>
  <c r="I44" i="7"/>
  <c r="I39" i="7"/>
  <c r="I73" i="7"/>
  <c r="I67" i="7"/>
  <c r="I61" i="7"/>
  <c r="I49" i="7"/>
  <c r="I43" i="7"/>
  <c r="I38" i="7"/>
  <c r="I71" i="7"/>
  <c r="I59" i="7"/>
  <c r="I47" i="7"/>
  <c r="I70" i="7"/>
  <c r="I46" i="7"/>
  <c r="I66" i="7"/>
  <c r="I54" i="7"/>
  <c r="I42" i="7"/>
  <c r="I31" i="7"/>
  <c r="I65" i="7"/>
  <c r="I53" i="7"/>
  <c r="I41" i="7"/>
  <c r="I72" i="7"/>
  <c r="I60" i="7"/>
  <c r="I48" i="7"/>
  <c r="I37" i="7"/>
  <c r="I25" i="7"/>
  <c r="I64" i="7"/>
  <c r="I29" i="7"/>
  <c r="I17" i="7"/>
  <c r="I19" i="7"/>
  <c r="M14" i="7"/>
  <c r="G27" i="7"/>
  <c r="M45" i="7"/>
  <c r="M35" i="7"/>
  <c r="S28" i="7"/>
  <c r="O71" i="7"/>
  <c r="S13" i="7"/>
  <c r="G5" i="7"/>
  <c r="G18" i="7"/>
  <c r="O15" i="7"/>
  <c r="C39" i="7"/>
  <c r="C44" i="7"/>
  <c r="C50" i="7"/>
  <c r="C62" i="7"/>
  <c r="C68" i="7"/>
  <c r="C74" i="7"/>
  <c r="C40" i="7"/>
  <c r="C45" i="7"/>
  <c r="C51" i="7"/>
  <c r="C57" i="7"/>
  <c r="C63" i="7"/>
  <c r="C69" i="7"/>
  <c r="C46" i="7"/>
  <c r="C52" i="7"/>
  <c r="C58" i="7"/>
  <c r="C70" i="7"/>
  <c r="C41" i="7"/>
  <c r="C47" i="7"/>
  <c r="C53" i="7"/>
  <c r="C59" i="7"/>
  <c r="C65" i="7"/>
  <c r="C71" i="7"/>
  <c r="C31" i="7"/>
  <c r="C48" i="7"/>
  <c r="C66" i="7"/>
  <c r="C55" i="7"/>
  <c r="C25" i="7"/>
  <c r="C32" i="7"/>
  <c r="C49" i="7"/>
  <c r="C67" i="7"/>
  <c r="C38" i="7"/>
  <c r="C37" i="7"/>
  <c r="C54" i="7"/>
  <c r="C72" i="7"/>
  <c r="C42" i="7"/>
  <c r="C26" i="7"/>
  <c r="C43" i="7"/>
  <c r="C61" i="7"/>
  <c r="C20" i="7"/>
  <c r="C73" i="7"/>
  <c r="C7" i="7"/>
  <c r="C60" i="7"/>
  <c r="O17" i="7"/>
  <c r="E13" i="7"/>
  <c r="S56" i="7"/>
  <c r="O53" i="7"/>
  <c r="C27" i="7"/>
  <c r="C16" i="7"/>
  <c r="S24" i="7"/>
  <c r="I36" i="7"/>
  <c r="O29" i="7"/>
  <c r="O14" i="7"/>
  <c r="I22" i="7"/>
  <c r="I16" i="7"/>
  <c r="K10" i="7"/>
  <c r="S42" i="7"/>
  <c r="G8" i="7"/>
  <c r="E14" i="7"/>
  <c r="C14" i="7"/>
  <c r="G6" i="7"/>
  <c r="E25" i="7"/>
  <c r="C8" i="7"/>
  <c r="K31" i="7"/>
  <c r="E24" i="7"/>
  <c r="G55" i="7"/>
  <c r="O55" i="7"/>
  <c r="G29" i="7"/>
  <c r="G34" i="7"/>
  <c r="G22" i="8"/>
  <c r="M71" i="7"/>
  <c r="M65" i="7"/>
  <c r="M59" i="7"/>
  <c r="M53" i="7"/>
  <c r="M47" i="7"/>
  <c r="M41" i="7"/>
  <c r="M70" i="7"/>
  <c r="M64" i="7"/>
  <c r="M58" i="7"/>
  <c r="M52" i="7"/>
  <c r="M46" i="7"/>
  <c r="M69" i="7"/>
  <c r="M63" i="7"/>
  <c r="M57" i="7"/>
  <c r="M51" i="7"/>
  <c r="M40" i="7"/>
  <c r="M73" i="7"/>
  <c r="M61" i="7"/>
  <c r="M49" i="7"/>
  <c r="M38" i="7"/>
  <c r="M72" i="7"/>
  <c r="M60" i="7"/>
  <c r="M48" i="7"/>
  <c r="M37" i="7"/>
  <c r="M68" i="7"/>
  <c r="M56" i="7"/>
  <c r="M67" i="7"/>
  <c r="M74" i="7"/>
  <c r="M62" i="7"/>
  <c r="M50" i="7"/>
  <c r="M39" i="7"/>
  <c r="M7" i="7"/>
  <c r="M66" i="7"/>
  <c r="M42" i="7"/>
  <c r="M54" i="7"/>
  <c r="M31" i="7"/>
  <c r="I21" i="7"/>
  <c r="O30" i="7"/>
  <c r="O26" i="7"/>
  <c r="O6" i="7"/>
  <c r="M33" i="7"/>
  <c r="I18" i="7"/>
  <c r="S20" i="7"/>
  <c r="M8" i="7"/>
  <c r="M24" i="7"/>
  <c r="M25" i="7"/>
  <c r="G7" i="7"/>
  <c r="M34" i="7"/>
  <c r="G11" i="7"/>
  <c r="G13" i="7"/>
  <c r="M6" i="7"/>
  <c r="S15" i="7"/>
  <c r="E22" i="7"/>
  <c r="I30" i="7"/>
  <c r="O31" i="7"/>
  <c r="I7" i="7"/>
  <c r="S32" i="7"/>
  <c r="E19" i="7"/>
  <c r="I14" i="7"/>
  <c r="I8" i="7"/>
  <c r="M36" i="7"/>
  <c r="C23" i="7"/>
  <c r="E30" i="7"/>
  <c r="G42" i="7"/>
  <c r="G56" i="7"/>
  <c r="I20" i="7"/>
  <c r="O28" i="7"/>
  <c r="O24" i="7"/>
  <c r="C9" i="7"/>
  <c r="S29" i="7"/>
  <c r="M9" i="7"/>
  <c r="E9" i="7"/>
  <c r="S25" i="7"/>
  <c r="Q73" i="7"/>
  <c r="Q67" i="7"/>
  <c r="Q61" i="7"/>
  <c r="Q49" i="7"/>
  <c r="Q43" i="7"/>
  <c r="Q38" i="7"/>
  <c r="Q72" i="7"/>
  <c r="Q66" i="7"/>
  <c r="Q60" i="7"/>
  <c r="Q54" i="7"/>
  <c r="Q48" i="7"/>
  <c r="Q37" i="7"/>
  <c r="Q65" i="7"/>
  <c r="Q59" i="7"/>
  <c r="Q47" i="7"/>
  <c r="Q41" i="7"/>
  <c r="Q63" i="7"/>
  <c r="Q51" i="7"/>
  <c r="Q40" i="7"/>
  <c r="Q74" i="7"/>
  <c r="Q62" i="7"/>
  <c r="Q50" i="7"/>
  <c r="Q70" i="7"/>
  <c r="Q46" i="7"/>
  <c r="Q57" i="7"/>
  <c r="Q68" i="7"/>
  <c r="Q44" i="7"/>
  <c r="Q33" i="7"/>
  <c r="S33" i="7"/>
  <c r="Q8" i="7"/>
  <c r="C13" i="7"/>
  <c r="M19" i="7"/>
  <c r="E55" i="7"/>
  <c r="S30" i="7"/>
  <c r="M12" i="7"/>
  <c r="I52" i="7"/>
  <c r="G73" i="7"/>
  <c r="G67" i="7"/>
  <c r="G61" i="7"/>
  <c r="G49" i="7"/>
  <c r="G43" i="7"/>
  <c r="G38" i="7"/>
  <c r="G72" i="7"/>
  <c r="G66" i="7"/>
  <c r="G60" i="7"/>
  <c r="G54" i="7"/>
  <c r="G48" i="7"/>
  <c r="G37" i="7"/>
  <c r="G31" i="7"/>
  <c r="G71" i="7"/>
  <c r="G65" i="7"/>
  <c r="G59" i="7"/>
  <c r="G53" i="7"/>
  <c r="G47" i="7"/>
  <c r="G41" i="7"/>
  <c r="G70" i="7"/>
  <c r="G52" i="7"/>
  <c r="G46" i="7"/>
  <c r="G74" i="7"/>
  <c r="G68" i="7"/>
  <c r="G62" i="7"/>
  <c r="G50" i="7"/>
  <c r="G44" i="7"/>
  <c r="G39" i="7"/>
  <c r="G21" i="7"/>
  <c r="G40" i="7"/>
  <c r="G57" i="7"/>
  <c r="G69" i="7"/>
  <c r="G22" i="7"/>
  <c r="G63" i="7"/>
  <c r="G51" i="7"/>
  <c r="G45" i="7"/>
  <c r="G16" i="7"/>
  <c r="I5" i="7"/>
  <c r="S64" i="7"/>
  <c r="S35" i="7"/>
  <c r="O39" i="7"/>
  <c r="G20" i="7"/>
  <c r="M28" i="7"/>
  <c r="M10" i="7"/>
  <c r="G23" i="7"/>
  <c r="E7" i="7"/>
  <c r="C17" i="7"/>
  <c r="M30" i="7"/>
  <c r="S36" i="7"/>
  <c r="E35" i="7"/>
  <c r="G15" i="7"/>
  <c r="E16" i="7"/>
  <c r="I6" i="7"/>
  <c r="S52" i="7"/>
  <c r="O21" i="7"/>
  <c r="G32" i="7"/>
  <c r="E5" i="7"/>
  <c r="I33" i="7"/>
  <c r="E18" i="7"/>
  <c r="O22" i="7"/>
  <c r="O18" i="7"/>
  <c r="G17" i="7"/>
  <c r="K70" i="7"/>
  <c r="K64" i="7"/>
  <c r="K58" i="7"/>
  <c r="K52" i="7"/>
  <c r="K46" i="7"/>
  <c r="K69" i="7"/>
  <c r="K63" i="7"/>
  <c r="K57" i="7"/>
  <c r="K51" i="7"/>
  <c r="K45" i="7"/>
  <c r="K40" i="7"/>
  <c r="K34" i="7"/>
  <c r="K74" i="7"/>
  <c r="K68" i="7"/>
  <c r="K62" i="7"/>
  <c r="K50" i="7"/>
  <c r="K44" i="7"/>
  <c r="K39" i="7"/>
  <c r="K72" i="7"/>
  <c r="K60" i="7"/>
  <c r="K48" i="7"/>
  <c r="K37" i="7"/>
  <c r="K71" i="7"/>
  <c r="K59" i="7"/>
  <c r="K47" i="7"/>
  <c r="K67" i="7"/>
  <c r="K66" i="7"/>
  <c r="K54" i="7"/>
  <c r="K42" i="7"/>
  <c r="K73" i="7"/>
  <c r="K61" i="7"/>
  <c r="K49" i="7"/>
  <c r="K26" i="7"/>
  <c r="K41" i="7"/>
  <c r="K30" i="7"/>
  <c r="K65" i="7"/>
  <c r="K53" i="7"/>
  <c r="G58" i="7"/>
  <c r="O52" i="7"/>
  <c r="C28" i="7"/>
  <c r="C24" i="7"/>
  <c r="I10" i="7"/>
  <c r="C18" i="7"/>
  <c r="G24" i="7"/>
  <c r="S6" i="7"/>
  <c r="E8" i="7"/>
  <c r="K6" i="7"/>
  <c r="I34" i="7"/>
  <c r="E28" i="7"/>
  <c r="C19" i="7"/>
  <c r="K35" i="7"/>
  <c r="K27" i="7"/>
  <c r="Q23" i="7"/>
  <c r="G30" i="7"/>
  <c r="Q28" i="7"/>
  <c r="S22" i="7"/>
  <c r="I22" i="8"/>
  <c r="I24" i="8"/>
  <c r="I25" i="8"/>
  <c r="I23" i="8"/>
  <c r="I21" i="8"/>
  <c r="I17" i="8"/>
  <c r="I16" i="8" s="1"/>
  <c r="I20" i="8"/>
  <c r="D15" i="6" l="1"/>
  <c r="C15" i="6"/>
  <c r="M14" i="6" l="1"/>
  <c r="K14" i="6"/>
  <c r="D14" i="6"/>
  <c r="C14" i="6"/>
  <c r="B14" i="6" s="1"/>
  <c r="I14" i="6" s="1"/>
  <c r="M13" i="6"/>
  <c r="K13" i="6"/>
  <c r="D13" i="6"/>
  <c r="C13" i="6"/>
  <c r="B13" i="6" s="1"/>
  <c r="I13" i="6" s="1"/>
  <c r="M12" i="6"/>
  <c r="K12" i="6"/>
  <c r="D12" i="6"/>
  <c r="C12" i="6"/>
  <c r="M11" i="6"/>
  <c r="K11" i="6"/>
  <c r="D11" i="6"/>
  <c r="C11" i="6"/>
  <c r="M10" i="6"/>
  <c r="K10" i="6"/>
  <c r="D10" i="6"/>
  <c r="C10" i="6"/>
  <c r="B10" i="6" s="1"/>
  <c r="M9" i="6"/>
  <c r="K9" i="6"/>
  <c r="D9" i="6"/>
  <c r="C9" i="6"/>
  <c r="M8" i="6"/>
  <c r="K8" i="6"/>
  <c r="D8" i="6"/>
  <c r="C8" i="6"/>
  <c r="M7" i="6"/>
  <c r="K7" i="6"/>
  <c r="D7" i="6"/>
  <c r="C7" i="6"/>
  <c r="M6" i="6"/>
  <c r="P12" i="6" s="1"/>
  <c r="K6" i="6"/>
  <c r="D6" i="6"/>
  <c r="C6" i="6"/>
  <c r="B6" i="6" s="1"/>
  <c r="B9" i="6" l="1"/>
  <c r="I9" i="6" s="1"/>
  <c r="L10" i="6"/>
  <c r="I10" i="6"/>
  <c r="P8" i="6"/>
  <c r="E14" i="6"/>
  <c r="I6" i="6"/>
  <c r="B11" i="6"/>
  <c r="I11" i="6" s="1"/>
  <c r="B12" i="6"/>
  <c r="I12" i="6" s="1"/>
  <c r="P14" i="6"/>
  <c r="P6" i="6"/>
  <c r="B7" i="6"/>
  <c r="B8" i="6"/>
  <c r="I8" i="6" s="1"/>
  <c r="L9" i="6"/>
  <c r="F9" i="6" s="1"/>
  <c r="L13" i="6"/>
  <c r="F13" i="6" s="1"/>
  <c r="E9" i="6"/>
  <c r="P7" i="6"/>
  <c r="P11" i="6"/>
  <c r="E13" i="6"/>
  <c r="L6" i="6"/>
  <c r="F6" i="6" s="1"/>
  <c r="P10" i="6"/>
  <c r="L14" i="6"/>
  <c r="F14" i="6" s="1"/>
  <c r="E6" i="6"/>
  <c r="P9" i="6"/>
  <c r="E10" i="6"/>
  <c r="P13" i="6"/>
  <c r="E33" i="5"/>
  <c r="H15" i="4"/>
  <c r="I15" i="4"/>
  <c r="H14" i="4"/>
  <c r="I14" i="4"/>
  <c r="H13" i="4"/>
  <c r="I13" i="4"/>
  <c r="H12" i="4"/>
  <c r="I12" i="4"/>
  <c r="H11" i="4"/>
  <c r="I11" i="4"/>
  <c r="H10" i="4"/>
  <c r="I10" i="4"/>
  <c r="H9" i="4"/>
  <c r="I9" i="4"/>
  <c r="H8" i="4"/>
  <c r="I8" i="4"/>
  <c r="H7" i="4"/>
  <c r="I7" i="4"/>
  <c r="H6" i="4"/>
  <c r="I6" i="4"/>
  <c r="G6" i="3"/>
  <c r="F6" i="3"/>
  <c r="E3" i="3"/>
  <c r="G6" i="4" l="1"/>
  <c r="G10" i="4"/>
  <c r="L8" i="6"/>
  <c r="F8" i="6" s="1"/>
  <c r="L12" i="6"/>
  <c r="F12" i="6" s="1"/>
  <c r="G15" i="4"/>
  <c r="C15" i="4" s="1"/>
  <c r="E12" i="6"/>
  <c r="G7" i="4"/>
  <c r="G9" i="4"/>
  <c r="F10" i="6"/>
  <c r="G12" i="4"/>
  <c r="G13" i="4"/>
  <c r="E8" i="6"/>
  <c r="E7" i="6"/>
  <c r="I7" i="6"/>
  <c r="E11" i="6"/>
  <c r="L7" i="6"/>
  <c r="F7" i="6" s="1"/>
  <c r="L11" i="6"/>
  <c r="F11" i="6" s="1"/>
  <c r="G14" i="4"/>
  <c r="G11" i="4"/>
  <c r="G8" i="4"/>
  <c r="U51" i="44"/>
  <c r="S51" i="44"/>
  <c r="Q51" i="44"/>
  <c r="O51" i="44"/>
  <c r="M51" i="44"/>
  <c r="K51" i="44"/>
  <c r="I51" i="44"/>
  <c r="G51" i="44"/>
  <c r="E51" i="44"/>
  <c r="C51" i="44"/>
  <c r="U49" i="44"/>
  <c r="S49" i="44"/>
  <c r="Q49" i="44"/>
  <c r="O49" i="44"/>
  <c r="M49" i="44"/>
  <c r="K49" i="44"/>
  <c r="I49" i="44"/>
  <c r="G49" i="44"/>
  <c r="E49" i="44"/>
  <c r="C49" i="44"/>
  <c r="U48" i="44"/>
  <c r="S48" i="44"/>
  <c r="Q48" i="44"/>
  <c r="O48" i="44"/>
  <c r="M48" i="44"/>
  <c r="K48" i="44"/>
  <c r="I48" i="44"/>
  <c r="G48" i="44"/>
  <c r="E48" i="44"/>
  <c r="C48" i="44"/>
  <c r="U44" i="44"/>
  <c r="S44" i="44"/>
  <c r="Q44" i="44"/>
  <c r="O44" i="44"/>
  <c r="M44" i="44"/>
  <c r="K44" i="44"/>
  <c r="I44" i="44"/>
  <c r="G44" i="44"/>
  <c r="E44" i="44"/>
  <c r="C44" i="44"/>
  <c r="U47" i="44"/>
  <c r="S47" i="44"/>
  <c r="Q47" i="44"/>
  <c r="O47" i="44"/>
  <c r="M47" i="44"/>
  <c r="K47" i="44"/>
  <c r="I47" i="44"/>
  <c r="G47" i="44"/>
  <c r="E47" i="44"/>
  <c r="C47" i="44"/>
  <c r="U37" i="44"/>
  <c r="S37" i="44"/>
  <c r="Q37" i="44"/>
  <c r="O37" i="44"/>
  <c r="M37" i="44"/>
  <c r="K37" i="44"/>
  <c r="I37" i="44"/>
  <c r="G37" i="44"/>
  <c r="E37" i="44"/>
  <c r="C37" i="44"/>
  <c r="U46" i="44"/>
  <c r="S46" i="44"/>
  <c r="Q46" i="44"/>
  <c r="O46" i="44"/>
  <c r="M46" i="44"/>
  <c r="K46" i="44"/>
  <c r="I46" i="44"/>
  <c r="G46" i="44"/>
  <c r="E46" i="44"/>
  <c r="C46" i="44"/>
  <c r="U45" i="44"/>
  <c r="S45" i="44"/>
  <c r="Q45" i="44"/>
  <c r="O45" i="44"/>
  <c r="M45" i="44"/>
  <c r="K45" i="44"/>
  <c r="I45" i="44"/>
  <c r="G45" i="44"/>
  <c r="E45" i="44"/>
  <c r="C45" i="44"/>
  <c r="U42" i="44"/>
  <c r="S42" i="44"/>
  <c r="Q42" i="44"/>
  <c r="O42" i="44"/>
  <c r="M42" i="44"/>
  <c r="K42" i="44"/>
  <c r="I42" i="44"/>
  <c r="G42" i="44"/>
  <c r="E42" i="44"/>
  <c r="C42" i="44"/>
  <c r="U41" i="44"/>
  <c r="S41" i="44"/>
  <c r="Q41" i="44"/>
  <c r="O41" i="44"/>
  <c r="M41" i="44"/>
  <c r="K41" i="44"/>
  <c r="I41" i="44"/>
  <c r="G41" i="44"/>
  <c r="E41" i="44"/>
  <c r="C41" i="44"/>
  <c r="U36" i="44"/>
  <c r="S36" i="44"/>
  <c r="Q36" i="44"/>
  <c r="O36" i="44"/>
  <c r="M36" i="44"/>
  <c r="K36" i="44"/>
  <c r="I36" i="44"/>
  <c r="G36" i="44"/>
  <c r="E36" i="44"/>
  <c r="C36" i="44"/>
  <c r="U35" i="44"/>
  <c r="S35" i="44"/>
  <c r="Q35" i="44"/>
  <c r="O35" i="44"/>
  <c r="M35" i="44"/>
  <c r="K35" i="44"/>
  <c r="I35" i="44"/>
  <c r="G35" i="44"/>
  <c r="E35" i="44"/>
  <c r="C35" i="44"/>
  <c r="U43" i="44"/>
  <c r="S43" i="44"/>
  <c r="Q43" i="44"/>
  <c r="O43" i="44"/>
  <c r="M43" i="44"/>
  <c r="K43" i="44"/>
  <c r="I43" i="44"/>
  <c r="G43" i="44"/>
  <c r="E43" i="44"/>
  <c r="C43" i="44"/>
  <c r="U40" i="44"/>
  <c r="S40" i="44"/>
  <c r="Q40" i="44"/>
  <c r="O40" i="44"/>
  <c r="M40" i="44"/>
  <c r="K40" i="44"/>
  <c r="I40" i="44"/>
  <c r="G40" i="44"/>
  <c r="E40" i="44"/>
  <c r="C40" i="44"/>
  <c r="U38" i="44"/>
  <c r="S38" i="44"/>
  <c r="Q38" i="44"/>
  <c r="O38" i="44"/>
  <c r="M38" i="44"/>
  <c r="K38" i="44"/>
  <c r="I38" i="44"/>
  <c r="G38" i="44"/>
  <c r="E38" i="44"/>
  <c r="C38" i="44"/>
  <c r="U39" i="44"/>
  <c r="S39" i="44"/>
  <c r="Q39" i="44"/>
  <c r="O39" i="44"/>
  <c r="M39" i="44"/>
  <c r="K39" i="44"/>
  <c r="I39" i="44"/>
  <c r="G39" i="44"/>
  <c r="E39" i="44"/>
  <c r="C39" i="44"/>
  <c r="U33" i="44"/>
  <c r="S33" i="44"/>
  <c r="Q33" i="44"/>
  <c r="O33" i="44"/>
  <c r="M33" i="44"/>
  <c r="K33" i="44"/>
  <c r="I33" i="44"/>
  <c r="G33" i="44"/>
  <c r="E33" i="44"/>
  <c r="C33" i="44"/>
  <c r="U28" i="44"/>
  <c r="S28" i="44"/>
  <c r="Q28" i="44"/>
  <c r="O28" i="44"/>
  <c r="M28" i="44"/>
  <c r="K28" i="44"/>
  <c r="I28" i="44"/>
  <c r="G28" i="44"/>
  <c r="E28" i="44"/>
  <c r="C28" i="44"/>
  <c r="U34" i="44"/>
  <c r="S34" i="44"/>
  <c r="Q34" i="44"/>
  <c r="O34" i="44"/>
  <c r="M34" i="44"/>
  <c r="K34" i="44"/>
  <c r="I34" i="44"/>
  <c r="G34" i="44"/>
  <c r="E34" i="44"/>
  <c r="C34" i="44"/>
  <c r="U32" i="44"/>
  <c r="S32" i="44"/>
  <c r="Q32" i="44"/>
  <c r="O32" i="44"/>
  <c r="M32" i="44"/>
  <c r="K32" i="44"/>
  <c r="I32" i="44"/>
  <c r="G32" i="44"/>
  <c r="E32" i="44"/>
  <c r="C32" i="44"/>
  <c r="U26" i="44"/>
  <c r="S26" i="44"/>
  <c r="Q26" i="44"/>
  <c r="O26" i="44"/>
  <c r="M26" i="44"/>
  <c r="K26" i="44"/>
  <c r="I26" i="44"/>
  <c r="G26" i="44"/>
  <c r="E26" i="44"/>
  <c r="C26" i="44"/>
  <c r="U50" i="44"/>
  <c r="S50" i="44"/>
  <c r="Q50" i="44"/>
  <c r="O50" i="44"/>
  <c r="M50" i="44"/>
  <c r="K50" i="44"/>
  <c r="I50" i="44"/>
  <c r="G50" i="44"/>
  <c r="E50" i="44"/>
  <c r="C50" i="44"/>
  <c r="U27" i="44"/>
  <c r="S27" i="44"/>
  <c r="Q27" i="44"/>
  <c r="O27" i="44"/>
  <c r="M27" i="44"/>
  <c r="K27" i="44"/>
  <c r="I27" i="44"/>
  <c r="G27" i="44"/>
  <c r="E27" i="44"/>
  <c r="C27" i="44"/>
  <c r="U29" i="44"/>
  <c r="S29" i="44"/>
  <c r="Q29" i="44"/>
  <c r="O29" i="44"/>
  <c r="M29" i="44"/>
  <c r="K29" i="44"/>
  <c r="I29" i="44"/>
  <c r="G29" i="44"/>
  <c r="E29" i="44"/>
  <c r="C29" i="44"/>
  <c r="U31" i="44"/>
  <c r="S31" i="44"/>
  <c r="Q31" i="44"/>
  <c r="O31" i="44"/>
  <c r="M31" i="44"/>
  <c r="K31" i="44"/>
  <c r="I31" i="44"/>
  <c r="G31" i="44"/>
  <c r="E31" i="44"/>
  <c r="C31" i="44"/>
  <c r="U25" i="44"/>
  <c r="S25" i="44"/>
  <c r="Q25" i="44"/>
  <c r="O25" i="44"/>
  <c r="M25" i="44"/>
  <c r="K25" i="44"/>
  <c r="I25" i="44"/>
  <c r="G25" i="44"/>
  <c r="E25" i="44"/>
  <c r="C25" i="44"/>
  <c r="U24" i="44"/>
  <c r="S24" i="44"/>
  <c r="Q24" i="44"/>
  <c r="O24" i="44"/>
  <c r="M24" i="44"/>
  <c r="K24" i="44"/>
  <c r="I24" i="44"/>
  <c r="G24" i="44"/>
  <c r="E24" i="44"/>
  <c r="C24" i="44"/>
  <c r="U30" i="44"/>
  <c r="S30" i="44"/>
  <c r="Q30" i="44"/>
  <c r="O30" i="44"/>
  <c r="M30" i="44"/>
  <c r="K30" i="44"/>
  <c r="I30" i="44"/>
  <c r="G30" i="44"/>
  <c r="E30" i="44"/>
  <c r="C30" i="44"/>
  <c r="U20" i="44"/>
  <c r="S20" i="44"/>
  <c r="Q20" i="44"/>
  <c r="O20" i="44"/>
  <c r="M20" i="44"/>
  <c r="K20" i="44"/>
  <c r="I20" i="44"/>
  <c r="G20" i="44"/>
  <c r="E20" i="44"/>
  <c r="C20" i="44"/>
  <c r="U23" i="44"/>
  <c r="S23" i="44"/>
  <c r="Q23" i="44"/>
  <c r="O23" i="44"/>
  <c r="M23" i="44"/>
  <c r="K23" i="44"/>
  <c r="I23" i="44"/>
  <c r="G23" i="44"/>
  <c r="E23" i="44"/>
  <c r="C23" i="44"/>
  <c r="U21" i="44"/>
  <c r="S21" i="44"/>
  <c r="Q21" i="44"/>
  <c r="O21" i="44"/>
  <c r="M21" i="44"/>
  <c r="K21" i="44"/>
  <c r="I21" i="44"/>
  <c r="G21" i="44"/>
  <c r="E21" i="44"/>
  <c r="C21" i="44"/>
  <c r="U22" i="44"/>
  <c r="S22" i="44"/>
  <c r="Q22" i="44"/>
  <c r="O22" i="44"/>
  <c r="M22" i="44"/>
  <c r="K22" i="44"/>
  <c r="I22" i="44"/>
  <c r="G22" i="44"/>
  <c r="E22" i="44"/>
  <c r="C22" i="44"/>
  <c r="U19" i="44"/>
  <c r="S19" i="44"/>
  <c r="Q19" i="44"/>
  <c r="O19" i="44"/>
  <c r="M19" i="44"/>
  <c r="K19" i="44"/>
  <c r="I19" i="44"/>
  <c r="G19" i="44"/>
  <c r="E19" i="44"/>
  <c r="C19" i="44"/>
  <c r="U18" i="44"/>
  <c r="S18" i="44"/>
  <c r="Q18" i="44"/>
  <c r="O18" i="44"/>
  <c r="M18" i="44"/>
  <c r="K18" i="44"/>
  <c r="I18" i="44"/>
  <c r="G18" i="44"/>
  <c r="E18" i="44"/>
  <c r="C18" i="44"/>
  <c r="U17" i="44"/>
  <c r="S17" i="44"/>
  <c r="Q17" i="44"/>
  <c r="O17" i="44"/>
  <c r="M17" i="44"/>
  <c r="K17" i="44"/>
  <c r="I17" i="44"/>
  <c r="G17" i="44"/>
  <c r="E17" i="44"/>
  <c r="C17" i="44"/>
  <c r="U14" i="44"/>
  <c r="S14" i="44"/>
  <c r="Q14" i="44"/>
  <c r="O14" i="44"/>
  <c r="M14" i="44"/>
  <c r="K14" i="44"/>
  <c r="I14" i="44"/>
  <c r="G14" i="44"/>
  <c r="E14" i="44"/>
  <c r="C14" i="44"/>
  <c r="U16" i="44"/>
  <c r="S16" i="44"/>
  <c r="Q16" i="44"/>
  <c r="O16" i="44"/>
  <c r="M16" i="44"/>
  <c r="K16" i="44"/>
  <c r="I16" i="44"/>
  <c r="G16" i="44"/>
  <c r="E16" i="44"/>
  <c r="C16" i="44"/>
  <c r="U15" i="44"/>
  <c r="S15" i="44"/>
  <c r="Q15" i="44"/>
  <c r="O15" i="44"/>
  <c r="M15" i="44"/>
  <c r="K15" i="44"/>
  <c r="I15" i="44"/>
  <c r="G15" i="44"/>
  <c r="E15" i="44"/>
  <c r="C15" i="44"/>
  <c r="U13" i="44"/>
  <c r="S13" i="44"/>
  <c r="Q13" i="44"/>
  <c r="O13" i="44"/>
  <c r="M13" i="44"/>
  <c r="K13" i="44"/>
  <c r="I13" i="44"/>
  <c r="G13" i="44"/>
  <c r="E13" i="44"/>
  <c r="C13" i="44"/>
  <c r="U11" i="44"/>
  <c r="S11" i="44"/>
  <c r="Q11" i="44"/>
  <c r="O11" i="44"/>
  <c r="M11" i="44"/>
  <c r="K11" i="44"/>
  <c r="I11" i="44"/>
  <c r="G11" i="44"/>
  <c r="E11" i="44"/>
  <c r="C11" i="44"/>
  <c r="U12" i="44"/>
  <c r="S12" i="44"/>
  <c r="Q12" i="44"/>
  <c r="O12" i="44"/>
  <c r="M12" i="44"/>
  <c r="K12" i="44"/>
  <c r="I12" i="44"/>
  <c r="G12" i="44"/>
  <c r="E12" i="44"/>
  <c r="C12" i="44"/>
  <c r="U9" i="44"/>
  <c r="S9" i="44"/>
  <c r="Q9" i="44"/>
  <c r="O9" i="44"/>
  <c r="M9" i="44"/>
  <c r="K9" i="44"/>
  <c r="I9" i="44"/>
  <c r="G9" i="44"/>
  <c r="E9" i="44"/>
  <c r="C9" i="44"/>
  <c r="U8" i="44"/>
  <c r="S8" i="44"/>
  <c r="Q8" i="44"/>
  <c r="O8" i="44"/>
  <c r="M8" i="44"/>
  <c r="K8" i="44"/>
  <c r="I8" i="44"/>
  <c r="G8" i="44"/>
  <c r="E8" i="44"/>
  <c r="C8" i="44"/>
  <c r="U10" i="44"/>
  <c r="S10" i="44"/>
  <c r="Q10" i="44"/>
  <c r="O10" i="44"/>
  <c r="M10" i="44"/>
  <c r="K10" i="44"/>
  <c r="I10" i="44"/>
  <c r="G10" i="44"/>
  <c r="E10" i="44"/>
  <c r="C10" i="44"/>
  <c r="U6" i="44"/>
  <c r="S6" i="44"/>
  <c r="Q6" i="44"/>
  <c r="O6" i="44"/>
  <c r="M6" i="44"/>
  <c r="K6" i="44"/>
  <c r="I6" i="44"/>
  <c r="G6" i="44"/>
  <c r="E6" i="44"/>
  <c r="C6" i="44"/>
  <c r="U7" i="44"/>
  <c r="S7" i="44"/>
  <c r="Q7" i="44"/>
  <c r="O7" i="44"/>
  <c r="M7" i="44"/>
  <c r="K7" i="44"/>
  <c r="I7" i="44"/>
  <c r="G7" i="44"/>
  <c r="E7" i="44"/>
  <c r="C7" i="44"/>
  <c r="U5" i="44"/>
  <c r="S5" i="44"/>
  <c r="Q5" i="44"/>
  <c r="O5" i="44"/>
  <c r="M5" i="44"/>
  <c r="K5" i="44"/>
  <c r="I5" i="44"/>
  <c r="G5" i="44"/>
  <c r="E5" i="44"/>
  <c r="C5" i="44"/>
  <c r="U4" i="44" l="1"/>
  <c r="O4" i="44"/>
  <c r="K4" i="44"/>
  <c r="Q4" i="44"/>
  <c r="G4" i="44"/>
  <c r="C4" i="44"/>
  <c r="S4" i="44"/>
  <c r="I4" i="44"/>
  <c r="E4" i="44"/>
  <c r="M4" i="44"/>
  <c r="J4" i="10" l="1"/>
  <c r="H4" i="10"/>
  <c r="F4" i="10"/>
  <c r="D4" i="10"/>
  <c r="B4" i="10"/>
  <c r="E9" i="10" l="1"/>
  <c r="E6" i="10"/>
  <c r="E13" i="10"/>
  <c r="E10" i="10"/>
  <c r="E5" i="10"/>
  <c r="E11" i="10"/>
  <c r="E12" i="10"/>
  <c r="E8" i="10"/>
  <c r="E7" i="10"/>
  <c r="G13" i="10"/>
  <c r="G10" i="10"/>
  <c r="G5" i="10"/>
  <c r="G6" i="10"/>
  <c r="G12" i="10"/>
  <c r="G8" i="10"/>
  <c r="G11" i="10"/>
  <c r="G7" i="10"/>
  <c r="G9" i="10"/>
  <c r="I12" i="10"/>
  <c r="I8" i="10"/>
  <c r="I10" i="10"/>
  <c r="I11" i="10"/>
  <c r="I7" i="10"/>
  <c r="I5" i="10"/>
  <c r="I9" i="10"/>
  <c r="I6" i="10"/>
  <c r="I13" i="10"/>
  <c r="C8" i="10"/>
  <c r="C12" i="10"/>
  <c r="C11" i="10"/>
  <c r="C10" i="10"/>
  <c r="C13" i="10"/>
  <c r="C7" i="10"/>
  <c r="C6" i="10"/>
  <c r="C9" i="10"/>
  <c r="C5" i="10"/>
  <c r="K11" i="10"/>
  <c r="K7" i="10"/>
  <c r="K12" i="10"/>
  <c r="K9" i="10"/>
  <c r="K6" i="10"/>
  <c r="K8" i="10"/>
  <c r="K13" i="10"/>
  <c r="K10" i="10"/>
  <c r="K5" i="10"/>
  <c r="J4" i="17" l="1"/>
  <c r="H4" i="17"/>
  <c r="F4" i="17"/>
  <c r="D4" i="17"/>
  <c r="J4" i="14"/>
  <c r="H4" i="14"/>
  <c r="F4" i="14"/>
  <c r="D4" i="14"/>
  <c r="B4" i="14"/>
  <c r="N4" i="9"/>
  <c r="J4" i="9"/>
  <c r="F4" i="9"/>
  <c r="D4" i="9"/>
  <c r="M15" i="6"/>
  <c r="P15" i="6" s="1"/>
  <c r="K15" i="6"/>
  <c r="E25" i="5"/>
  <c r="E5" i="5"/>
  <c r="E4" i="5" s="1"/>
  <c r="E3" i="5" s="1"/>
  <c r="C14" i="4"/>
  <c r="C13" i="4"/>
  <c r="C12" i="4"/>
  <c r="C11" i="4"/>
  <c r="E28" i="3"/>
  <c r="E27" i="3"/>
  <c r="E26" i="3"/>
  <c r="E25" i="3"/>
  <c r="E24" i="3"/>
  <c r="E22" i="3"/>
  <c r="E21" i="3"/>
  <c r="E20" i="3"/>
  <c r="E17" i="3"/>
  <c r="E15" i="3"/>
  <c r="E14" i="3"/>
  <c r="E13" i="3"/>
  <c r="E12" i="3"/>
  <c r="E10" i="3"/>
  <c r="G9" i="3"/>
  <c r="F9" i="3"/>
  <c r="E8" i="3"/>
  <c r="E7" i="3"/>
  <c r="E6" i="3"/>
  <c r="E5" i="3"/>
  <c r="E4" i="3"/>
  <c r="G14" i="1"/>
  <c r="D14" i="1"/>
  <c r="G13" i="1"/>
  <c r="D13" i="1"/>
  <c r="G12" i="1"/>
  <c r="D12" i="1"/>
  <c r="G11" i="1"/>
  <c r="D11" i="1"/>
  <c r="G10" i="1"/>
  <c r="D10" i="1"/>
  <c r="G9" i="1"/>
  <c r="D9" i="1"/>
  <c r="G8" i="1"/>
  <c r="D8" i="1"/>
  <c r="G7" i="1"/>
  <c r="D7" i="1"/>
  <c r="G6" i="1"/>
  <c r="D6" i="1"/>
  <c r="G5" i="1"/>
  <c r="D5" i="1"/>
  <c r="E19" i="3" l="1"/>
  <c r="K6" i="14"/>
  <c r="K11" i="14"/>
  <c r="K5" i="14"/>
  <c r="K7" i="14"/>
  <c r="K10" i="14"/>
  <c r="K9" i="14"/>
  <c r="K8" i="14"/>
  <c r="E21" i="17"/>
  <c r="E15" i="17"/>
  <c r="E9" i="17"/>
  <c r="E14" i="17"/>
  <c r="E19" i="17"/>
  <c r="E7" i="17"/>
  <c r="E18" i="17"/>
  <c r="E6" i="17"/>
  <c r="E17" i="17"/>
  <c r="E11" i="17"/>
  <c r="E5" i="17"/>
  <c r="E16" i="17"/>
  <c r="E10" i="17"/>
  <c r="E20" i="17"/>
  <c r="E8" i="17"/>
  <c r="E13" i="17"/>
  <c r="E12" i="17"/>
  <c r="C7" i="14"/>
  <c r="C11" i="14"/>
  <c r="C6" i="14"/>
  <c r="C8" i="14"/>
  <c r="C9" i="14"/>
  <c r="C10" i="14"/>
  <c r="C5" i="14"/>
  <c r="G16" i="17"/>
  <c r="G10" i="17"/>
  <c r="G21" i="17"/>
  <c r="G9" i="17"/>
  <c r="G20" i="17"/>
  <c r="G19" i="17"/>
  <c r="G7" i="17"/>
  <c r="G18" i="17"/>
  <c r="G14" i="17"/>
  <c r="G12" i="17"/>
  <c r="G17" i="17"/>
  <c r="G11" i="17"/>
  <c r="G5" i="17"/>
  <c r="G15" i="17"/>
  <c r="G8" i="17"/>
  <c r="G13" i="17"/>
  <c r="G6" i="17"/>
  <c r="E9" i="14"/>
  <c r="E10" i="14"/>
  <c r="E8" i="14"/>
  <c r="E5" i="14"/>
  <c r="E7" i="14"/>
  <c r="E6" i="14"/>
  <c r="E11" i="14"/>
  <c r="I17" i="17"/>
  <c r="I11" i="17"/>
  <c r="I5" i="17"/>
  <c r="I21" i="17"/>
  <c r="I15" i="17"/>
  <c r="I14" i="17"/>
  <c r="I16" i="17"/>
  <c r="I19" i="17"/>
  <c r="I7" i="17"/>
  <c r="I18" i="17"/>
  <c r="I12" i="17"/>
  <c r="I6" i="17"/>
  <c r="I10" i="17"/>
  <c r="I9" i="17"/>
  <c r="I20" i="17"/>
  <c r="I8" i="17"/>
  <c r="I13" i="17"/>
  <c r="I7" i="14"/>
  <c r="I6" i="14"/>
  <c r="I9" i="14"/>
  <c r="I11" i="14"/>
  <c r="I5" i="14"/>
  <c r="I10" i="14"/>
  <c r="I8" i="14"/>
  <c r="G8" i="14"/>
  <c r="G10" i="14"/>
  <c r="G9" i="14"/>
  <c r="G7" i="14"/>
  <c r="G6" i="14"/>
  <c r="G11" i="14"/>
  <c r="G5" i="14"/>
  <c r="K18" i="17"/>
  <c r="K12" i="17"/>
  <c r="K6" i="17"/>
  <c r="K5" i="17"/>
  <c r="K10" i="17"/>
  <c r="K21" i="17"/>
  <c r="K9" i="17"/>
  <c r="K20" i="17"/>
  <c r="K16" i="17"/>
  <c r="K14" i="17"/>
  <c r="K8" i="17"/>
  <c r="K19" i="17"/>
  <c r="K13" i="17"/>
  <c r="K7" i="17"/>
  <c r="K17" i="17"/>
  <c r="K11" i="17"/>
  <c r="K15" i="17"/>
  <c r="E44" i="9"/>
  <c r="E40" i="9"/>
  <c r="E36" i="9"/>
  <c r="E32" i="9"/>
  <c r="E28" i="9"/>
  <c r="E24" i="9"/>
  <c r="E20" i="9"/>
  <c r="E16" i="9"/>
  <c r="E12" i="9"/>
  <c r="E8" i="9"/>
  <c r="E43" i="9"/>
  <c r="E35" i="9"/>
  <c r="E51" i="9"/>
  <c r="E41" i="9"/>
  <c r="E37" i="9"/>
  <c r="E33" i="9"/>
  <c r="E29" i="9"/>
  <c r="E25" i="9"/>
  <c r="E21" i="9"/>
  <c r="E17" i="9"/>
  <c r="E13" i="9"/>
  <c r="E9" i="9"/>
  <c r="E5" i="9"/>
  <c r="E39" i="9"/>
  <c r="E31" i="9"/>
  <c r="E42" i="9"/>
  <c r="E38" i="9"/>
  <c r="E34" i="9"/>
  <c r="E30" i="9"/>
  <c r="E26" i="9"/>
  <c r="E22" i="9"/>
  <c r="E18" i="9"/>
  <c r="E14" i="9"/>
  <c r="E10" i="9"/>
  <c r="E6" i="9"/>
  <c r="E15" i="9"/>
  <c r="E11" i="9"/>
  <c r="E19" i="9"/>
  <c r="E23" i="9"/>
  <c r="E7" i="9"/>
  <c r="E27" i="9"/>
  <c r="G51" i="9"/>
  <c r="G41" i="9"/>
  <c r="G37" i="9"/>
  <c r="G33" i="9"/>
  <c r="G29" i="9"/>
  <c r="G25" i="9"/>
  <c r="G21" i="9"/>
  <c r="G17" i="9"/>
  <c r="G13" i="9"/>
  <c r="G9" i="9"/>
  <c r="G5" i="9"/>
  <c r="G36" i="9"/>
  <c r="G32" i="9"/>
  <c r="G42" i="9"/>
  <c r="G38" i="9"/>
  <c r="G34" i="9"/>
  <c r="G30" i="9"/>
  <c r="G26" i="9"/>
  <c r="G22" i="9"/>
  <c r="G18" i="9"/>
  <c r="G14" i="9"/>
  <c r="G10" i="9"/>
  <c r="G6" i="9"/>
  <c r="G40" i="9"/>
  <c r="G43" i="9"/>
  <c r="G39" i="9"/>
  <c r="G35" i="9"/>
  <c r="G31" i="9"/>
  <c r="G27" i="9"/>
  <c r="G23" i="9"/>
  <c r="G19" i="9"/>
  <c r="G15" i="9"/>
  <c r="G11" i="9"/>
  <c r="G7" i="9"/>
  <c r="G44" i="9"/>
  <c r="G24" i="9"/>
  <c r="G8" i="9"/>
  <c r="G16" i="9"/>
  <c r="G20" i="9"/>
  <c r="G28" i="9"/>
  <c r="G12" i="9"/>
  <c r="C7" i="4"/>
  <c r="C8" i="4"/>
  <c r="H4" i="9"/>
  <c r="C9" i="4"/>
  <c r="C6" i="4"/>
  <c r="C10" i="4"/>
  <c r="B4" i="17"/>
  <c r="I4" i="17"/>
  <c r="L4" i="9"/>
  <c r="E16" i="3"/>
  <c r="E9" i="3" s="1"/>
  <c r="B15" i="6"/>
  <c r="I15" i="6" s="1"/>
  <c r="E4" i="17"/>
  <c r="K4" i="17"/>
  <c r="G4" i="17"/>
  <c r="C7" i="17" l="1"/>
  <c r="C13" i="17"/>
  <c r="C19" i="17"/>
  <c r="C8" i="17"/>
  <c r="C20" i="17"/>
  <c r="C21" i="17"/>
  <c r="C16" i="17"/>
  <c r="C11" i="17"/>
  <c r="C9" i="17"/>
  <c r="C6" i="17"/>
  <c r="C12" i="17"/>
  <c r="C18" i="17"/>
  <c r="C14" i="17"/>
  <c r="C15" i="17"/>
  <c r="C10" i="17"/>
  <c r="C5" i="17"/>
  <c r="C17" i="17"/>
  <c r="I42" i="9"/>
  <c r="I38" i="9"/>
  <c r="I34" i="9"/>
  <c r="I30" i="9"/>
  <c r="I26" i="9"/>
  <c r="I22" i="9"/>
  <c r="I18" i="9"/>
  <c r="I14" i="9"/>
  <c r="I10" i="9"/>
  <c r="I6" i="9"/>
  <c r="I51" i="9"/>
  <c r="I37" i="9"/>
  <c r="I43" i="9"/>
  <c r="I39" i="9"/>
  <c r="I35" i="9"/>
  <c r="I31" i="9"/>
  <c r="I27" i="9"/>
  <c r="I23" i="9"/>
  <c r="I19" i="9"/>
  <c r="I15" i="9"/>
  <c r="I11" i="9"/>
  <c r="I7" i="9"/>
  <c r="I41" i="9"/>
  <c r="I33" i="9"/>
  <c r="I44" i="9"/>
  <c r="I40" i="9"/>
  <c r="I36" i="9"/>
  <c r="I32" i="9"/>
  <c r="I28" i="9"/>
  <c r="I24" i="9"/>
  <c r="I20" i="9"/>
  <c r="I16" i="9"/>
  <c r="I12" i="9"/>
  <c r="I8" i="9"/>
  <c r="I29" i="9"/>
  <c r="I17" i="9"/>
  <c r="I25" i="9"/>
  <c r="I9" i="9"/>
  <c r="I13" i="9"/>
  <c r="I21" i="9"/>
  <c r="I5" i="9"/>
  <c r="B4" i="9"/>
  <c r="C4" i="17"/>
  <c r="C4" i="10"/>
  <c r="E4" i="10"/>
  <c r="I4" i="10"/>
  <c r="E4" i="9"/>
  <c r="O4" i="9"/>
  <c r="G4" i="14"/>
  <c r="I4" i="14"/>
  <c r="E4" i="14"/>
  <c r="K4" i="14"/>
  <c r="K4" i="10"/>
  <c r="G4" i="10"/>
  <c r="E15" i="6"/>
  <c r="K4" i="9"/>
  <c r="K21" i="8"/>
  <c r="K18" i="8"/>
  <c r="K17" i="8"/>
  <c r="K23" i="8"/>
  <c r="K25" i="8"/>
  <c r="C4" i="14"/>
  <c r="K20" i="8"/>
  <c r="K22" i="8"/>
  <c r="G4" i="9"/>
  <c r="L15" i="6"/>
  <c r="F15" i="6" s="1"/>
  <c r="K24" i="8"/>
  <c r="C43" i="9" l="1"/>
  <c r="C39" i="9"/>
  <c r="C35" i="9"/>
  <c r="C31" i="9"/>
  <c r="C27" i="9"/>
  <c r="C23" i="9"/>
  <c r="C19" i="9"/>
  <c r="C15" i="9"/>
  <c r="C11" i="9"/>
  <c r="C7" i="9"/>
  <c r="C42" i="9"/>
  <c r="C34" i="9"/>
  <c r="C44" i="9"/>
  <c r="C40" i="9"/>
  <c r="C36" i="9"/>
  <c r="C32" i="9"/>
  <c r="C28" i="9"/>
  <c r="C24" i="9"/>
  <c r="C20" i="9"/>
  <c r="C16" i="9"/>
  <c r="C12" i="9"/>
  <c r="C8" i="9"/>
  <c r="C38" i="9"/>
  <c r="C51" i="9"/>
  <c r="C41" i="9"/>
  <c r="C37" i="9"/>
  <c r="C33" i="9"/>
  <c r="C29" i="9"/>
  <c r="C25" i="9"/>
  <c r="C21" i="9"/>
  <c r="C17" i="9"/>
  <c r="C13" i="9"/>
  <c r="C9" i="9"/>
  <c r="C5" i="9"/>
  <c r="C30" i="9"/>
  <c r="C22" i="9"/>
  <c r="C6" i="9"/>
  <c r="C26" i="9"/>
  <c r="C10" i="9"/>
  <c r="C14" i="9"/>
  <c r="C18" i="9"/>
  <c r="M4" i="7"/>
  <c r="I4" i="7"/>
  <c r="C4" i="7"/>
  <c r="U4" i="7"/>
  <c r="S4" i="7"/>
  <c r="Q4" i="7"/>
  <c r="O4" i="7"/>
  <c r="K4" i="7"/>
  <c r="G4" i="7"/>
  <c r="E4" i="7"/>
  <c r="I4" i="9"/>
  <c r="M4" i="9"/>
  <c r="K16" i="8"/>
  <c r="C4" i="9" l="1"/>
</calcChain>
</file>

<file path=xl/sharedStrings.xml><?xml version="1.0" encoding="utf-8"?>
<sst xmlns="http://schemas.openxmlformats.org/spreadsheetml/2006/main" count="2730" uniqueCount="916">
  <si>
    <r>
      <rPr>
        <sz val="10"/>
        <color theme="1"/>
        <rFont val="新細明體"/>
        <family val="1"/>
        <charset val="136"/>
      </rPr>
      <t>犯罪嫌疑人數</t>
    </r>
    <r>
      <rPr>
        <sz val="10"/>
        <color theme="1"/>
        <rFont val="Times New Roman"/>
        <family val="1"/>
      </rPr>
      <t xml:space="preserve">  </t>
    </r>
    <phoneticPr fontId="6" type="noConversion"/>
  </si>
  <si>
    <r>
      <rPr>
        <sz val="10"/>
        <color theme="1"/>
        <rFont val="新細明體"/>
        <family val="1"/>
        <charset val="136"/>
      </rPr>
      <t>犯罪人口率</t>
    </r>
    <phoneticPr fontId="6" type="noConversion"/>
  </si>
  <si>
    <r>
      <rPr>
        <sz val="10"/>
        <color theme="1"/>
        <rFont val="新細明體"/>
        <family val="1"/>
        <charset val="136"/>
      </rPr>
      <t>犯罪嫌疑人數</t>
    </r>
    <phoneticPr fontId="6" type="noConversion"/>
  </si>
  <si>
    <r>
      <rPr>
        <sz val="10"/>
        <rFont val="新細明體"/>
        <family val="1"/>
        <charset val="136"/>
      </rPr>
      <t>人</t>
    </r>
    <phoneticPr fontId="6" type="noConversion"/>
  </si>
  <si>
    <t>%</t>
    <phoneticPr fontId="6" type="noConversion"/>
  </si>
  <si>
    <t>%</t>
    <phoneticPr fontId="6" type="noConversion"/>
  </si>
  <si>
    <r>
      <rPr>
        <sz val="12"/>
        <color theme="1"/>
        <rFont val="新細明體"/>
        <family val="2"/>
        <charset val="136"/>
        <scheme val="minor"/>
      </rPr>
      <t>總計</t>
    </r>
    <phoneticPr fontId="6" type="noConversion"/>
  </si>
  <si>
    <r>
      <rPr>
        <sz val="12"/>
        <color theme="1"/>
        <rFont val="新細明體"/>
        <family val="2"/>
        <charset val="136"/>
        <scheme val="minor"/>
      </rPr>
      <t>毒品危害防制條例</t>
    </r>
    <phoneticPr fontId="6" type="noConversion"/>
  </si>
  <si>
    <r>
      <rPr>
        <sz val="12"/>
        <color theme="1"/>
        <rFont val="新細明體"/>
        <family val="2"/>
        <charset val="136"/>
        <scheme val="minor"/>
      </rPr>
      <t>槍砲彈藥刀械管制條例</t>
    </r>
    <phoneticPr fontId="6" type="noConversion"/>
  </si>
  <si>
    <t>-</t>
  </si>
  <si>
    <t>-</t>
    <phoneticPr fontId="18" type="noConversion"/>
  </si>
  <si>
    <r>
      <rPr>
        <sz val="12"/>
        <color theme="1"/>
        <rFont val="新細明體"/>
        <family val="2"/>
        <charset val="136"/>
        <scheme val="minor"/>
      </rPr>
      <t>藥事法</t>
    </r>
    <phoneticPr fontId="6" type="noConversion"/>
  </si>
  <si>
    <t>-</t>
    <phoneticPr fontId="18" type="noConversion"/>
  </si>
  <si>
    <r>
      <rPr>
        <sz val="12"/>
        <color theme="1"/>
        <rFont val="新細明體"/>
        <family val="2"/>
        <charset val="136"/>
        <scheme val="minor"/>
      </rPr>
      <t>著作權法</t>
    </r>
    <phoneticPr fontId="6" type="noConversion"/>
  </si>
  <si>
    <t>-</t>
    <phoneticPr fontId="18" type="noConversion"/>
  </si>
  <si>
    <t>-</t>
    <phoneticPr fontId="21" type="noConversion"/>
  </si>
  <si>
    <t>-</t>
    <phoneticPr fontId="21" type="noConversion"/>
  </si>
  <si>
    <t>-</t>
    <phoneticPr fontId="21" type="noConversion"/>
  </si>
  <si>
    <r>
      <rPr>
        <sz val="12"/>
        <color theme="1"/>
        <rFont val="新細明體"/>
        <family val="2"/>
        <charset val="136"/>
        <scheme val="minor"/>
      </rPr>
      <t>其他</t>
    </r>
    <phoneticPr fontId="6" type="noConversion"/>
  </si>
  <si>
    <t>-</t>
    <phoneticPr fontId="6" type="noConversion"/>
  </si>
  <si>
    <r>
      <rPr>
        <sz val="15"/>
        <rFont val="新細明體"/>
        <family val="1"/>
        <charset val="136"/>
      </rPr>
      <t>表</t>
    </r>
    <r>
      <rPr>
        <sz val="15"/>
        <rFont val="Times New Roman"/>
        <family val="1"/>
      </rPr>
      <t>3-2-2</t>
    </r>
    <r>
      <rPr>
        <sz val="15"/>
        <rFont val="新細明體"/>
        <family val="1"/>
        <charset val="136"/>
      </rPr>
      <t>　近</t>
    </r>
    <r>
      <rPr>
        <sz val="15"/>
        <rFont val="Times New Roman"/>
        <family val="1"/>
      </rPr>
      <t>10</t>
    </r>
    <r>
      <rPr>
        <sz val="15"/>
        <rFont val="新細明體"/>
        <family val="1"/>
        <charset val="136"/>
      </rPr>
      <t>年少年保護事件審理終結情形</t>
    </r>
    <phoneticPr fontId="6" type="noConversion"/>
  </si>
  <si>
    <r>
      <rPr>
        <sz val="12"/>
        <color theme="1"/>
        <rFont val="新細明體"/>
        <family val="2"/>
        <charset val="136"/>
        <scheme val="minor"/>
      </rPr>
      <t>終結件數</t>
    </r>
    <phoneticPr fontId="6" type="noConversion"/>
  </si>
  <si>
    <r>
      <rPr>
        <sz val="12"/>
        <color theme="1"/>
        <rFont val="新細明體"/>
        <family val="2"/>
        <charset val="136"/>
        <scheme val="minor"/>
      </rPr>
      <t>交付保護處分</t>
    </r>
    <phoneticPr fontId="6" type="noConversion"/>
  </si>
  <si>
    <r>
      <rPr>
        <sz val="12"/>
        <color theme="1"/>
        <rFont val="新細明體"/>
        <family val="2"/>
        <charset val="136"/>
        <scheme val="minor"/>
      </rPr>
      <t>協尋</t>
    </r>
    <phoneticPr fontId="6" type="noConversion"/>
  </si>
  <si>
    <r>
      <rPr>
        <sz val="12"/>
        <color theme="1"/>
        <rFont val="新細明體"/>
        <family val="2"/>
        <charset val="136"/>
        <scheme val="minor"/>
      </rPr>
      <t>併辦</t>
    </r>
    <phoneticPr fontId="6" type="noConversion"/>
  </si>
  <si>
    <r>
      <rPr>
        <sz val="12"/>
        <color theme="1"/>
        <rFont val="新細明體"/>
        <family val="2"/>
        <charset val="136"/>
        <scheme val="minor"/>
      </rPr>
      <t>訓誡</t>
    </r>
    <phoneticPr fontId="6" type="noConversion"/>
  </si>
  <si>
    <r>
      <rPr>
        <sz val="12"/>
        <color theme="1"/>
        <rFont val="新細明體"/>
        <family val="2"/>
        <charset val="136"/>
        <scheme val="minor"/>
      </rPr>
      <t>保護管束</t>
    </r>
    <phoneticPr fontId="6" type="noConversion"/>
  </si>
  <si>
    <r>
      <rPr>
        <sz val="12"/>
        <color theme="1"/>
        <rFont val="新細明體"/>
        <family val="2"/>
        <charset val="136"/>
        <scheme val="minor"/>
      </rPr>
      <t>安置輔導</t>
    </r>
    <phoneticPr fontId="6" type="noConversion"/>
  </si>
  <si>
    <r>
      <rPr>
        <sz val="12"/>
        <color theme="1"/>
        <rFont val="新細明體"/>
        <family val="2"/>
        <charset val="136"/>
        <scheme val="minor"/>
      </rPr>
      <t>感化教育</t>
    </r>
    <phoneticPr fontId="6" type="noConversion"/>
  </si>
  <si>
    <r>
      <t>101年</t>
    </r>
    <r>
      <rPr>
        <sz val="12"/>
        <color theme="1"/>
        <rFont val="新細明體"/>
        <family val="2"/>
        <charset val="136"/>
        <scheme val="minor"/>
      </rPr>
      <t/>
    </r>
  </si>
  <si>
    <r>
      <t>102年</t>
    </r>
    <r>
      <rPr>
        <sz val="12"/>
        <color theme="1"/>
        <rFont val="新細明體"/>
        <family val="2"/>
        <charset val="136"/>
        <scheme val="minor"/>
      </rPr>
      <t/>
    </r>
  </si>
  <si>
    <r>
      <t>103年</t>
    </r>
    <r>
      <rPr>
        <sz val="12"/>
        <color theme="1"/>
        <rFont val="新細明體"/>
        <family val="2"/>
        <charset val="136"/>
        <scheme val="minor"/>
      </rPr>
      <t/>
    </r>
  </si>
  <si>
    <r>
      <t>104年</t>
    </r>
    <r>
      <rPr>
        <sz val="12"/>
        <color theme="1"/>
        <rFont val="新細明體"/>
        <family val="2"/>
        <charset val="136"/>
        <scheme val="minor"/>
      </rPr>
      <t/>
    </r>
  </si>
  <si>
    <r>
      <t>105年</t>
    </r>
    <r>
      <rPr>
        <sz val="12"/>
        <color theme="1"/>
        <rFont val="新細明體"/>
        <family val="2"/>
        <charset val="136"/>
        <scheme val="minor"/>
      </rPr>
      <t/>
    </r>
  </si>
  <si>
    <r>
      <t>106年</t>
    </r>
    <r>
      <rPr>
        <sz val="12"/>
        <color theme="1"/>
        <rFont val="新細明體"/>
        <family val="2"/>
        <charset val="136"/>
        <scheme val="minor"/>
      </rPr>
      <t/>
    </r>
  </si>
  <si>
    <r>
      <t>107年</t>
    </r>
    <r>
      <rPr>
        <sz val="12"/>
        <color theme="1"/>
        <rFont val="新細明體"/>
        <family val="2"/>
        <charset val="136"/>
        <scheme val="minor"/>
      </rPr>
      <t/>
    </r>
  </si>
  <si>
    <r>
      <t>108年</t>
    </r>
    <r>
      <rPr>
        <sz val="12"/>
        <color theme="1"/>
        <rFont val="新細明體"/>
        <family val="2"/>
        <charset val="136"/>
        <scheme val="minor"/>
      </rPr>
      <t/>
    </r>
  </si>
  <si>
    <r>
      <t>109年</t>
    </r>
    <r>
      <rPr>
        <sz val="12"/>
        <color theme="1"/>
        <rFont val="新細明體"/>
        <family val="2"/>
        <charset val="136"/>
        <scheme val="minor"/>
      </rPr>
      <t/>
    </r>
  </si>
  <si>
    <r>
      <rPr>
        <sz val="10"/>
        <rFont val="新細明體"/>
        <family val="1"/>
        <charset val="136"/>
      </rPr>
      <t>說　　明：</t>
    </r>
    <r>
      <rPr>
        <sz val="10"/>
        <rFont val="Times New Roman"/>
        <family val="1"/>
      </rPr>
      <t xml:space="preserve">1. </t>
    </r>
    <r>
      <rPr>
        <sz val="10"/>
        <rFont val="新細明體"/>
        <family val="1"/>
        <charset val="136"/>
      </rPr>
      <t>移送檢察署之細項同表</t>
    </r>
    <r>
      <rPr>
        <sz val="10"/>
        <rFont val="Times New Roman"/>
        <family val="1"/>
      </rPr>
      <t>3-2-1</t>
    </r>
    <r>
      <rPr>
        <sz val="10"/>
        <rFont val="新細明體"/>
        <family val="1"/>
        <charset val="136"/>
      </rPr>
      <t>所示。</t>
    </r>
    <phoneticPr fontId="6" type="noConversion"/>
  </si>
  <si>
    <r>
      <rPr>
        <sz val="12"/>
        <color theme="1"/>
        <rFont val="新細明體"/>
        <family val="2"/>
        <charset val="136"/>
        <scheme val="minor"/>
      </rPr>
      <t>終</t>
    </r>
    <r>
      <rPr>
        <sz val="12"/>
        <rFont val="Times New Roman"/>
        <family val="1"/>
      </rPr>
      <t xml:space="preserve">   </t>
    </r>
    <r>
      <rPr>
        <sz val="12"/>
        <color theme="1"/>
        <rFont val="新細明體"/>
        <family val="2"/>
        <charset val="136"/>
        <scheme val="minor"/>
      </rPr>
      <t>結</t>
    </r>
    <r>
      <rPr>
        <sz val="12"/>
        <rFont val="Times New Roman"/>
        <family val="1"/>
      </rPr>
      <t xml:space="preserve">   </t>
    </r>
    <r>
      <rPr>
        <sz val="12"/>
        <color theme="1"/>
        <rFont val="新細明體"/>
        <family val="2"/>
        <charset val="136"/>
        <scheme val="minor"/>
      </rPr>
      <t>件</t>
    </r>
    <r>
      <rPr>
        <sz val="12"/>
        <rFont val="Times New Roman"/>
        <family val="1"/>
      </rPr>
      <t xml:space="preserve">   </t>
    </r>
    <r>
      <rPr>
        <sz val="12"/>
        <color theme="1"/>
        <rFont val="新細明體"/>
        <family val="2"/>
        <charset val="136"/>
        <scheme val="minor"/>
      </rPr>
      <t>數</t>
    </r>
    <phoneticPr fontId="6" type="noConversion"/>
  </si>
  <si>
    <r>
      <rPr>
        <sz val="12"/>
        <color theme="1"/>
        <rFont val="新細明體"/>
        <family val="2"/>
        <charset val="136"/>
        <scheme val="minor"/>
      </rPr>
      <t>被</t>
    </r>
    <r>
      <rPr>
        <sz val="12"/>
        <rFont val="Times New Roman"/>
        <family val="1"/>
      </rPr>
      <t xml:space="preserve"> </t>
    </r>
    <r>
      <rPr>
        <sz val="12"/>
        <color theme="1"/>
        <rFont val="新細明體"/>
        <family val="2"/>
        <charset val="136"/>
        <scheme val="minor"/>
      </rPr>
      <t>告</t>
    </r>
    <r>
      <rPr>
        <sz val="12"/>
        <rFont val="Times New Roman"/>
        <family val="1"/>
      </rPr>
      <t xml:space="preserve"> </t>
    </r>
    <r>
      <rPr>
        <sz val="12"/>
        <color theme="1"/>
        <rFont val="新細明體"/>
        <family val="2"/>
        <charset val="136"/>
        <scheme val="minor"/>
      </rPr>
      <t>人</t>
    </r>
    <r>
      <rPr>
        <sz val="12"/>
        <rFont val="Times New Roman"/>
        <family val="1"/>
      </rPr>
      <t xml:space="preserve"> </t>
    </r>
    <r>
      <rPr>
        <sz val="12"/>
        <color theme="1"/>
        <rFont val="新細明體"/>
        <family val="2"/>
        <charset val="136"/>
        <scheme val="minor"/>
      </rPr>
      <t>數</t>
    </r>
    <phoneticPr fontId="6" type="noConversion"/>
  </si>
  <si>
    <r>
      <rPr>
        <sz val="12"/>
        <color theme="1"/>
        <rFont val="新細明體"/>
        <family val="2"/>
        <charset val="136"/>
        <scheme val="minor"/>
      </rPr>
      <t>拘役</t>
    </r>
    <phoneticPr fontId="6" type="noConversion"/>
  </si>
  <si>
    <r>
      <rPr>
        <sz val="12"/>
        <color theme="1"/>
        <rFont val="新細明體"/>
        <family val="2"/>
        <charset val="136"/>
        <scheme val="minor"/>
      </rPr>
      <t>罰金</t>
    </r>
    <phoneticPr fontId="6" type="noConversion"/>
  </si>
  <si>
    <r>
      <rPr>
        <sz val="12"/>
        <color theme="1"/>
        <rFont val="新細明體"/>
        <family val="2"/>
        <charset val="136"/>
        <scheme val="minor"/>
      </rPr>
      <t>免除其刑</t>
    </r>
    <phoneticPr fontId="6" type="noConversion"/>
  </si>
  <si>
    <r>
      <rPr>
        <sz val="12"/>
        <color theme="1"/>
        <rFont val="新細明體"/>
        <family val="2"/>
        <charset val="136"/>
        <scheme val="minor"/>
      </rPr>
      <t>免除其刑並交付保護處分</t>
    </r>
    <phoneticPr fontId="6" type="noConversion"/>
  </si>
  <si>
    <r>
      <rPr>
        <sz val="12"/>
        <color theme="1"/>
        <rFont val="新細明體"/>
        <family val="2"/>
        <charset val="136"/>
        <scheme val="minor"/>
      </rPr>
      <t>不受理</t>
    </r>
    <phoneticPr fontId="6" type="noConversion"/>
  </si>
  <si>
    <r>
      <rPr>
        <sz val="12"/>
        <color theme="1"/>
        <rFont val="新細明體"/>
        <family val="2"/>
        <charset val="136"/>
        <scheme val="minor"/>
      </rPr>
      <t>免訴</t>
    </r>
    <phoneticPr fontId="6" type="noConversion"/>
  </si>
  <si>
    <r>
      <rPr>
        <sz val="12"/>
        <color theme="1"/>
        <rFont val="新細明體"/>
        <family val="2"/>
        <charset val="136"/>
        <scheme val="minor"/>
      </rPr>
      <t>無罪</t>
    </r>
    <phoneticPr fontId="6" type="noConversion"/>
  </si>
  <si>
    <r>
      <rPr>
        <sz val="12"/>
        <color theme="1"/>
        <rFont val="新細明體"/>
        <family val="2"/>
        <charset val="136"/>
        <scheme val="minor"/>
      </rPr>
      <t>管轄錯誤</t>
    </r>
    <phoneticPr fontId="6" type="noConversion"/>
  </si>
  <si>
    <r>
      <rPr>
        <sz val="12"/>
        <color theme="1"/>
        <rFont val="新細明體"/>
        <family val="2"/>
        <charset val="136"/>
        <scheme val="minor"/>
      </rPr>
      <t>通緝</t>
    </r>
    <phoneticPr fontId="6" type="noConversion"/>
  </si>
  <si>
    <r>
      <rPr>
        <sz val="11"/>
        <rFont val="新細明體"/>
        <family val="1"/>
        <charset val="136"/>
      </rPr>
      <t>其他</t>
    </r>
    <phoneticPr fontId="6" type="noConversion"/>
  </si>
  <si>
    <r>
      <rPr>
        <sz val="12"/>
        <color theme="1"/>
        <rFont val="新細明體"/>
        <family val="2"/>
        <charset val="136"/>
        <scheme val="minor"/>
      </rPr>
      <t>保安處分人數</t>
    </r>
    <phoneticPr fontId="6" type="noConversion"/>
  </si>
  <si>
    <r>
      <rPr>
        <sz val="12"/>
        <color theme="1"/>
        <rFont val="新細明體"/>
        <family val="2"/>
        <charset val="136"/>
        <scheme val="minor"/>
      </rPr>
      <t>強制治療</t>
    </r>
    <phoneticPr fontId="6" type="noConversion"/>
  </si>
  <si>
    <r>
      <rPr>
        <sz val="12"/>
        <color theme="1"/>
        <rFont val="新細明體"/>
        <family val="2"/>
        <charset val="136"/>
        <scheme val="minor"/>
      </rPr>
      <t>禁戒</t>
    </r>
    <phoneticPr fontId="6" type="noConversion"/>
  </si>
  <si>
    <r>
      <rPr>
        <sz val="12"/>
        <color theme="1"/>
        <rFont val="新細明體"/>
        <family val="2"/>
        <charset val="136"/>
        <scheme val="minor"/>
      </rPr>
      <t>強制工作</t>
    </r>
    <phoneticPr fontId="6" type="noConversion"/>
  </si>
  <si>
    <r>
      <rPr>
        <sz val="12"/>
        <color theme="1"/>
        <rFont val="新細明體"/>
        <family val="2"/>
        <charset val="136"/>
        <scheme val="minor"/>
      </rPr>
      <t>驅逐出境</t>
    </r>
    <phoneticPr fontId="6" type="noConversion"/>
  </si>
  <si>
    <r>
      <rPr>
        <sz val="12"/>
        <color theme="1"/>
        <rFont val="新細明體"/>
        <family val="2"/>
        <charset val="136"/>
        <scheme val="minor"/>
      </rPr>
      <t>監護</t>
    </r>
    <phoneticPr fontId="6" type="noConversion"/>
  </si>
  <si>
    <r>
      <rPr>
        <sz val="12"/>
        <color theme="1"/>
        <rFont val="新細明體"/>
        <family val="2"/>
        <charset val="136"/>
        <scheme val="minor"/>
      </rPr>
      <t>緩刑人數</t>
    </r>
    <phoneticPr fontId="6" type="noConversion"/>
  </si>
  <si>
    <r>
      <rPr>
        <sz val="12"/>
        <color theme="1"/>
        <rFont val="新細明體"/>
        <family val="2"/>
        <charset val="136"/>
        <scheme val="minor"/>
      </rPr>
      <t>人</t>
    </r>
    <phoneticPr fontId="6" type="noConversion"/>
  </si>
  <si>
    <r>
      <rPr>
        <sz val="12"/>
        <color theme="1"/>
        <rFont val="新細明體"/>
        <family val="2"/>
        <charset val="136"/>
        <scheme val="minor"/>
      </rPr>
      <t>人</t>
    </r>
    <phoneticPr fontId="6" type="noConversion"/>
  </si>
  <si>
    <t>%</t>
    <phoneticPr fontId="6" type="noConversion"/>
  </si>
  <si>
    <t>%</t>
    <phoneticPr fontId="6" type="noConversion"/>
  </si>
  <si>
    <r>
      <rPr>
        <sz val="12"/>
        <color theme="1"/>
        <rFont val="新細明體"/>
        <family val="2"/>
        <charset val="136"/>
        <scheme val="minor"/>
      </rPr>
      <t>人</t>
    </r>
    <phoneticPr fontId="6" type="noConversion"/>
  </si>
  <si>
    <r>
      <rPr>
        <sz val="12"/>
        <color theme="1"/>
        <rFont val="新細明體"/>
        <family val="2"/>
        <charset val="136"/>
        <scheme val="minor"/>
      </rPr>
      <t>傷害罪</t>
    </r>
    <phoneticPr fontId="6" type="noConversion"/>
  </si>
  <si>
    <r>
      <rPr>
        <sz val="12"/>
        <color theme="1"/>
        <rFont val="新細明體"/>
        <family val="2"/>
        <charset val="136"/>
        <scheme val="minor"/>
      </rPr>
      <t>竊盜罪</t>
    </r>
    <phoneticPr fontId="6" type="noConversion"/>
  </si>
  <si>
    <r>
      <rPr>
        <sz val="12"/>
        <color theme="1"/>
        <rFont val="新細明體"/>
        <family val="2"/>
        <charset val="136"/>
        <scheme val="minor"/>
      </rPr>
      <t>詐欺罪</t>
    </r>
    <phoneticPr fontId="6" type="noConversion"/>
  </si>
  <si>
    <r>
      <rPr>
        <sz val="12"/>
        <color theme="1"/>
        <rFont val="新細明體"/>
        <family val="2"/>
        <charset val="136"/>
        <scheme val="minor"/>
      </rPr>
      <t>妨害性自主罪</t>
    </r>
    <phoneticPr fontId="6" type="noConversion"/>
  </si>
  <si>
    <r>
      <rPr>
        <sz val="12"/>
        <color theme="1"/>
        <rFont val="新細明體"/>
        <family val="2"/>
        <charset val="136"/>
        <scheme val="minor"/>
      </rPr>
      <t>公共危險罪</t>
    </r>
    <phoneticPr fontId="6" type="noConversion"/>
  </si>
  <si>
    <r>
      <rPr>
        <sz val="12"/>
        <color theme="1"/>
        <rFont val="新細明體"/>
        <family val="2"/>
        <charset val="136"/>
        <scheme val="minor"/>
      </rPr>
      <t>妨害秩序罪</t>
    </r>
    <phoneticPr fontId="6" type="noConversion"/>
  </si>
  <si>
    <r>
      <rPr>
        <sz val="12"/>
        <color theme="1"/>
        <rFont val="新細明體"/>
        <family val="2"/>
        <charset val="136"/>
        <scheme val="minor"/>
      </rPr>
      <t>妨害自由罪</t>
    </r>
    <phoneticPr fontId="6" type="noConversion"/>
  </si>
  <si>
    <r>
      <rPr>
        <sz val="12"/>
        <color theme="1"/>
        <rFont val="新細明體"/>
        <family val="2"/>
        <charset val="136"/>
        <scheme val="minor"/>
      </rPr>
      <t>毀棄損壞罪</t>
    </r>
    <phoneticPr fontId="6" type="noConversion"/>
  </si>
  <si>
    <r>
      <rPr>
        <sz val="12"/>
        <color theme="1"/>
        <rFont val="新細明體"/>
        <family val="2"/>
        <charset val="136"/>
        <scheme val="minor"/>
      </rPr>
      <t>妨害名譽及信用罪</t>
    </r>
    <phoneticPr fontId="6" type="noConversion"/>
  </si>
  <si>
    <r>
      <rPr>
        <sz val="12"/>
        <color theme="1"/>
        <rFont val="新細明體"/>
        <family val="2"/>
        <charset val="136"/>
        <scheme val="minor"/>
      </rPr>
      <t>恐嚇罪</t>
    </r>
    <phoneticPr fontId="6" type="noConversion"/>
  </si>
  <si>
    <r>
      <rPr>
        <sz val="12"/>
        <color theme="1"/>
        <rFont val="新細明體"/>
        <family val="2"/>
        <charset val="136"/>
        <scheme val="minor"/>
      </rPr>
      <t>侵占罪</t>
    </r>
    <phoneticPr fontId="6" type="noConversion"/>
  </si>
  <si>
    <r>
      <rPr>
        <sz val="12"/>
        <color theme="1"/>
        <rFont val="新細明體"/>
        <family val="2"/>
        <charset val="136"/>
        <scheme val="minor"/>
      </rPr>
      <t>賭博罪</t>
    </r>
    <phoneticPr fontId="6" type="noConversion"/>
  </si>
  <si>
    <r>
      <rPr>
        <sz val="12"/>
        <color theme="1"/>
        <rFont val="新細明體"/>
        <family val="2"/>
        <charset val="136"/>
        <scheme val="minor"/>
      </rPr>
      <t>偽造文書印文罪</t>
    </r>
    <phoneticPr fontId="6" type="noConversion"/>
  </si>
  <si>
    <r>
      <rPr>
        <sz val="12"/>
        <color theme="1"/>
        <rFont val="新細明體"/>
        <family val="2"/>
        <charset val="136"/>
        <scheme val="minor"/>
      </rPr>
      <t>殺人罪</t>
    </r>
    <phoneticPr fontId="6" type="noConversion"/>
  </si>
  <si>
    <r>
      <rPr>
        <sz val="12"/>
        <color theme="1"/>
        <rFont val="新細明體"/>
        <family val="2"/>
        <charset val="136"/>
        <scheme val="minor"/>
      </rPr>
      <t>贓物罪</t>
    </r>
    <phoneticPr fontId="6" type="noConversion"/>
  </si>
  <si>
    <r>
      <rPr>
        <sz val="12"/>
        <color theme="1"/>
        <rFont val="新細明體"/>
        <family val="2"/>
        <charset val="136"/>
        <scheme val="minor"/>
      </rPr>
      <t>妨害公務罪</t>
    </r>
    <phoneticPr fontId="6" type="noConversion"/>
  </si>
  <si>
    <r>
      <rPr>
        <sz val="12"/>
        <color theme="1"/>
        <rFont val="新細明體"/>
        <family val="2"/>
        <charset val="136"/>
        <scheme val="minor"/>
      </rPr>
      <t>性騷擾防治法</t>
    </r>
  </si>
  <si>
    <r>
      <rPr>
        <sz val="12"/>
        <color theme="1"/>
        <rFont val="新細明體"/>
        <family val="2"/>
        <charset val="136"/>
        <scheme val="minor"/>
      </rPr>
      <t>組織犯罪防制條例</t>
    </r>
    <phoneticPr fontId="6" type="noConversion"/>
  </si>
  <si>
    <r>
      <rPr>
        <sz val="12"/>
        <color theme="1"/>
        <rFont val="新細明體"/>
        <family val="2"/>
        <charset val="136"/>
        <scheme val="minor"/>
      </rPr>
      <t>妨害秘密罪</t>
    </r>
    <phoneticPr fontId="6" type="noConversion"/>
  </si>
  <si>
    <r>
      <rPr>
        <sz val="12"/>
        <color theme="1"/>
        <rFont val="新細明體"/>
        <family val="2"/>
        <charset val="136"/>
        <scheme val="minor"/>
      </rPr>
      <t>洗錢防制法</t>
    </r>
    <phoneticPr fontId="6" type="noConversion"/>
  </si>
  <si>
    <t>-</t>
    <phoneticPr fontId="6" type="noConversion"/>
  </si>
  <si>
    <t>-</t>
    <phoneticPr fontId="6" type="noConversion"/>
  </si>
  <si>
    <r>
      <rPr>
        <sz val="12"/>
        <color theme="1"/>
        <rFont val="新細明體"/>
        <family val="2"/>
        <charset val="136"/>
        <scheme val="minor"/>
      </rPr>
      <t>搶奪及海盜罪</t>
    </r>
    <phoneticPr fontId="6" type="noConversion"/>
  </si>
  <si>
    <r>
      <rPr>
        <sz val="12"/>
        <color theme="1"/>
        <rFont val="新細明體"/>
        <family val="2"/>
        <charset val="136"/>
        <scheme val="minor"/>
      </rPr>
      <t>妨害電腦使用罪</t>
    </r>
    <phoneticPr fontId="6" type="noConversion"/>
  </si>
  <si>
    <r>
      <rPr>
        <sz val="12"/>
        <color theme="1"/>
        <rFont val="新細明體"/>
        <family val="2"/>
        <charset val="136"/>
        <scheme val="minor"/>
      </rPr>
      <t>誣告罪</t>
    </r>
    <phoneticPr fontId="6" type="noConversion"/>
  </si>
  <si>
    <r>
      <rPr>
        <sz val="12"/>
        <color theme="1"/>
        <rFont val="新細明體"/>
        <family val="2"/>
        <charset val="136"/>
        <scheme val="minor"/>
      </rPr>
      <t>妨害婚姻及家庭罪</t>
    </r>
    <phoneticPr fontId="6" type="noConversion"/>
  </si>
  <si>
    <r>
      <rPr>
        <sz val="12"/>
        <color theme="1"/>
        <rFont val="新細明體"/>
        <family val="2"/>
        <charset val="136"/>
        <scheme val="minor"/>
      </rPr>
      <t>家庭暴力防治法</t>
    </r>
    <phoneticPr fontId="6" type="noConversion"/>
  </si>
  <si>
    <r>
      <rPr>
        <sz val="12"/>
        <color theme="1"/>
        <rFont val="新細明體"/>
        <family val="2"/>
        <charset val="136"/>
        <scheme val="minor"/>
      </rPr>
      <t>重利罪</t>
    </r>
    <phoneticPr fontId="6" type="noConversion"/>
  </si>
  <si>
    <r>
      <rPr>
        <sz val="12"/>
        <color theme="1"/>
        <rFont val="新細明體"/>
        <family val="2"/>
        <charset val="136"/>
        <scheme val="minor"/>
      </rPr>
      <t>偽證罪</t>
    </r>
    <phoneticPr fontId="6" type="noConversion"/>
  </si>
  <si>
    <r>
      <rPr>
        <sz val="12"/>
        <color theme="1"/>
        <rFont val="新細明體"/>
        <family val="2"/>
        <charset val="136"/>
        <scheme val="minor"/>
      </rPr>
      <t>個人資料保護法</t>
    </r>
  </si>
  <si>
    <r>
      <rPr>
        <sz val="12"/>
        <color theme="1"/>
        <rFont val="新細明體"/>
        <family val="2"/>
        <charset val="136"/>
        <scheme val="minor"/>
      </rPr>
      <t>商標法</t>
    </r>
    <phoneticPr fontId="6" type="noConversion"/>
  </si>
  <si>
    <r>
      <rPr>
        <sz val="12"/>
        <color theme="1"/>
        <rFont val="新細明體"/>
        <family val="2"/>
        <charset val="136"/>
        <scheme val="minor"/>
      </rPr>
      <t>強盜罪</t>
    </r>
    <phoneticPr fontId="6" type="noConversion"/>
  </si>
  <si>
    <r>
      <rPr>
        <sz val="12"/>
        <color theme="1"/>
        <rFont val="新細明體"/>
        <family val="2"/>
        <charset val="136"/>
        <scheme val="minor"/>
      </rPr>
      <t>偽造有價證券罪</t>
    </r>
    <phoneticPr fontId="6" type="noConversion"/>
  </si>
  <si>
    <r>
      <rPr>
        <sz val="12"/>
        <color theme="1"/>
        <rFont val="新細明體"/>
        <family val="2"/>
        <charset val="136"/>
        <scheme val="minor"/>
      </rPr>
      <t>戶籍法</t>
    </r>
    <phoneticPr fontId="6" type="noConversion"/>
  </si>
  <si>
    <r>
      <rPr>
        <sz val="12"/>
        <color theme="1"/>
        <rFont val="新細明體"/>
        <family val="2"/>
        <charset val="136"/>
        <scheme val="minor"/>
      </rPr>
      <t>森林法</t>
    </r>
    <phoneticPr fontId="6" type="noConversion"/>
  </si>
  <si>
    <r>
      <rPr>
        <sz val="12"/>
        <color theme="1"/>
        <rFont val="新細明體"/>
        <family val="2"/>
        <charset val="136"/>
        <scheme val="minor"/>
      </rPr>
      <t>電信法</t>
    </r>
    <phoneticPr fontId="6" type="noConversion"/>
  </si>
  <si>
    <r>
      <rPr>
        <sz val="12"/>
        <color theme="1"/>
        <rFont val="新細明體"/>
        <family val="2"/>
        <charset val="136"/>
        <scheme val="minor"/>
      </rPr>
      <t>背信罪</t>
    </r>
    <phoneticPr fontId="6" type="noConversion"/>
  </si>
  <si>
    <r>
      <rPr>
        <sz val="12"/>
        <color theme="1"/>
        <rFont val="新細明體"/>
        <family val="2"/>
        <charset val="136"/>
        <scheme val="minor"/>
      </rPr>
      <t>動物保護法</t>
    </r>
  </si>
  <si>
    <r>
      <rPr>
        <sz val="12"/>
        <color theme="1"/>
        <rFont val="新細明體"/>
        <family val="2"/>
        <charset val="136"/>
        <scheme val="minor"/>
      </rPr>
      <t>選舉罷免法</t>
    </r>
  </si>
  <si>
    <r>
      <rPr>
        <sz val="12"/>
        <color theme="1"/>
        <rFont val="新細明體"/>
        <family val="2"/>
        <charset val="136"/>
        <scheme val="minor"/>
      </rPr>
      <t>醫療法</t>
    </r>
  </si>
  <si>
    <r>
      <rPr>
        <sz val="12"/>
        <color theme="1"/>
        <rFont val="新細明體"/>
        <family val="2"/>
        <charset val="136"/>
        <scheme val="minor"/>
      </rPr>
      <t>妨害農工商罪</t>
    </r>
    <phoneticPr fontId="6" type="noConversion"/>
  </si>
  <si>
    <r>
      <rPr>
        <sz val="12"/>
        <color theme="1"/>
        <rFont val="新細明體"/>
        <family val="2"/>
        <charset val="136"/>
        <scheme val="minor"/>
      </rPr>
      <t>妨礙投票罪</t>
    </r>
    <phoneticPr fontId="6" type="noConversion"/>
  </si>
  <si>
    <r>
      <rPr>
        <sz val="12"/>
        <color theme="1"/>
        <rFont val="新細明體"/>
        <family val="2"/>
        <charset val="136"/>
        <scheme val="minor"/>
      </rPr>
      <t>性侵害防治法</t>
    </r>
    <phoneticPr fontId="6" type="noConversion"/>
  </si>
  <si>
    <r>
      <rPr>
        <sz val="12"/>
        <color theme="1"/>
        <rFont val="新細明體"/>
        <family val="2"/>
        <charset val="136"/>
        <scheme val="minor"/>
      </rPr>
      <t>偽造貨幣罪</t>
    </r>
    <phoneticPr fontId="6" type="noConversion"/>
  </si>
  <si>
    <r>
      <rPr>
        <sz val="12"/>
        <color theme="1"/>
        <rFont val="新細明體"/>
        <family val="2"/>
        <charset val="136"/>
        <scheme val="minor"/>
      </rPr>
      <t>水土保持法</t>
    </r>
    <phoneticPr fontId="6" type="noConversion"/>
  </si>
  <si>
    <r>
      <rPr>
        <sz val="12"/>
        <color theme="1"/>
        <rFont val="新細明體"/>
        <family val="2"/>
        <charset val="136"/>
        <scheme val="minor"/>
      </rPr>
      <t>民用航空法</t>
    </r>
  </si>
  <si>
    <r>
      <rPr>
        <sz val="12"/>
        <color theme="1"/>
        <rFont val="新細明體"/>
        <family val="2"/>
        <charset val="136"/>
        <scheme val="minor"/>
      </rPr>
      <t>野生動物保育法</t>
    </r>
  </si>
  <si>
    <r>
      <rPr>
        <sz val="12"/>
        <color theme="1"/>
        <rFont val="新細明體"/>
        <family val="2"/>
        <charset val="136"/>
        <scheme val="minor"/>
      </rPr>
      <t>陸海空軍刑法</t>
    </r>
  </si>
  <si>
    <r>
      <rPr>
        <sz val="12"/>
        <color theme="1"/>
        <rFont val="新細明體"/>
        <family val="2"/>
        <charset val="136"/>
        <scheme val="minor"/>
      </rPr>
      <t>期貨交易法</t>
    </r>
  </si>
  <si>
    <r>
      <rPr>
        <sz val="12"/>
        <color theme="1"/>
        <rFont val="新細明體"/>
        <family val="2"/>
        <charset val="136"/>
        <scheme val="minor"/>
      </rPr>
      <t>菸酒管理法</t>
    </r>
  </si>
  <si>
    <r>
      <rPr>
        <sz val="12"/>
        <color theme="1"/>
        <rFont val="新細明體"/>
        <family val="2"/>
        <charset val="136"/>
        <scheme val="minor"/>
      </rPr>
      <t>電業法</t>
    </r>
  </si>
  <si>
    <r>
      <rPr>
        <sz val="12"/>
        <color theme="1"/>
        <rFont val="新細明體"/>
        <family val="2"/>
        <charset val="136"/>
        <scheme val="minor"/>
      </rPr>
      <t>廢棄物清理法</t>
    </r>
  </si>
  <si>
    <r>
      <rPr>
        <sz val="12"/>
        <color theme="1"/>
        <rFont val="新細明體"/>
        <family val="2"/>
        <charset val="136"/>
        <scheme val="minor"/>
      </rPr>
      <t>電子遊戲場業管理條例</t>
    </r>
    <phoneticPr fontId="6" type="noConversion"/>
  </si>
  <si>
    <r>
      <rPr>
        <sz val="12"/>
        <color theme="1"/>
        <rFont val="新細明體"/>
        <family val="2"/>
        <charset val="136"/>
        <scheme val="minor"/>
      </rPr>
      <t>墮胎罪</t>
    </r>
    <phoneticPr fontId="6" type="noConversion"/>
  </si>
  <si>
    <r>
      <rPr>
        <sz val="12"/>
        <color theme="1"/>
        <rFont val="新細明體"/>
        <family val="2"/>
        <charset val="136"/>
        <scheme val="minor"/>
      </rPr>
      <t>擄人勒贖罪</t>
    </r>
    <phoneticPr fontId="6" type="noConversion"/>
  </si>
  <si>
    <r>
      <rPr>
        <sz val="12"/>
        <color theme="1"/>
        <rFont val="新細明體"/>
        <family val="2"/>
        <charset val="136"/>
        <scheme val="minor"/>
      </rPr>
      <t>遺棄罪</t>
    </r>
    <phoneticPr fontId="6" type="noConversion"/>
  </si>
  <si>
    <r>
      <rPr>
        <sz val="12"/>
        <color theme="1"/>
        <rFont val="新細明體"/>
        <family val="2"/>
        <charset val="136"/>
        <scheme val="minor"/>
      </rPr>
      <t>懲治走私條例</t>
    </r>
    <phoneticPr fontId="6" type="noConversion"/>
  </si>
  <si>
    <r>
      <rPr>
        <sz val="12"/>
        <color theme="1"/>
        <rFont val="新細明體"/>
        <family val="2"/>
        <charset val="136"/>
        <scheme val="minor"/>
      </rPr>
      <t>護照條例</t>
    </r>
  </si>
  <si>
    <r>
      <rPr>
        <sz val="12"/>
        <color theme="1"/>
        <rFont val="新細明體"/>
        <family val="2"/>
        <charset val="136"/>
        <scheme val="minor"/>
      </rPr>
      <t>人</t>
    </r>
    <phoneticPr fontId="6" type="noConversion"/>
  </si>
  <si>
    <t>%</t>
    <phoneticPr fontId="6" type="noConversion"/>
  </si>
  <si>
    <t>%</t>
    <phoneticPr fontId="6" type="noConversion"/>
  </si>
  <si>
    <r>
      <rPr>
        <sz val="12"/>
        <color theme="1"/>
        <rFont val="新細明體"/>
        <family val="2"/>
        <charset val="136"/>
        <scheme val="minor"/>
      </rPr>
      <t>人</t>
    </r>
    <phoneticPr fontId="6" type="noConversion"/>
  </si>
  <si>
    <r>
      <rPr>
        <sz val="12"/>
        <color theme="1"/>
        <rFont val="新細明體"/>
        <family val="2"/>
        <charset val="136"/>
        <scheme val="minor"/>
      </rPr>
      <t>總計</t>
    </r>
    <phoneticPr fontId="6" type="noConversion"/>
  </si>
  <si>
    <r>
      <rPr>
        <sz val="12"/>
        <color theme="1"/>
        <rFont val="新細明體"/>
        <family val="2"/>
        <charset val="136"/>
        <scheme val="minor"/>
      </rPr>
      <t>男</t>
    </r>
    <phoneticPr fontId="6" type="noConversion"/>
  </si>
  <si>
    <r>
      <rPr>
        <sz val="12"/>
        <color theme="1"/>
        <rFont val="新細明體"/>
        <family val="2"/>
        <charset val="136"/>
        <scheme val="minor"/>
      </rPr>
      <t>女</t>
    </r>
    <phoneticPr fontId="6" type="noConversion"/>
  </si>
  <si>
    <r>
      <t>12</t>
    </r>
    <r>
      <rPr>
        <sz val="12"/>
        <color theme="1"/>
        <rFont val="新細明體"/>
        <family val="2"/>
        <charset val="136"/>
        <scheme val="minor"/>
      </rPr>
      <t>歲未滿</t>
    </r>
    <phoneticPr fontId="6" type="noConversion"/>
  </si>
  <si>
    <r>
      <t>12</t>
    </r>
    <r>
      <rPr>
        <sz val="12"/>
        <color theme="1"/>
        <rFont val="新細明體"/>
        <family val="2"/>
        <charset val="136"/>
        <scheme val="minor"/>
      </rPr>
      <t>歲以上</t>
    </r>
    <r>
      <rPr>
        <sz val="12"/>
        <rFont val="Times New Roman"/>
        <family val="1"/>
      </rPr>
      <t>13</t>
    </r>
    <r>
      <rPr>
        <sz val="12"/>
        <color theme="1"/>
        <rFont val="新細明體"/>
        <family val="2"/>
        <charset val="136"/>
        <scheme val="minor"/>
      </rPr>
      <t>歲未滿</t>
    </r>
    <phoneticPr fontId="6" type="noConversion"/>
  </si>
  <si>
    <r>
      <t>13</t>
    </r>
    <r>
      <rPr>
        <sz val="12"/>
        <color theme="1"/>
        <rFont val="新細明體"/>
        <family val="2"/>
        <charset val="136"/>
        <scheme val="minor"/>
      </rPr>
      <t>歲以上</t>
    </r>
    <r>
      <rPr>
        <sz val="12"/>
        <rFont val="Times New Roman"/>
        <family val="1"/>
      </rPr>
      <t>14</t>
    </r>
    <r>
      <rPr>
        <sz val="12"/>
        <color theme="1"/>
        <rFont val="新細明體"/>
        <family val="2"/>
        <charset val="136"/>
        <scheme val="minor"/>
      </rPr>
      <t>歲未滿</t>
    </r>
    <phoneticPr fontId="6" type="noConversion"/>
  </si>
  <si>
    <r>
      <t>14</t>
    </r>
    <r>
      <rPr>
        <sz val="12"/>
        <color theme="1"/>
        <rFont val="新細明體"/>
        <family val="2"/>
        <charset val="136"/>
        <scheme val="minor"/>
      </rPr>
      <t>歲以上</t>
    </r>
    <r>
      <rPr>
        <sz val="12"/>
        <rFont val="Times New Roman"/>
        <family val="1"/>
      </rPr>
      <t>15</t>
    </r>
    <r>
      <rPr>
        <sz val="12"/>
        <color theme="1"/>
        <rFont val="新細明體"/>
        <family val="2"/>
        <charset val="136"/>
        <scheme val="minor"/>
      </rPr>
      <t>歲未滿</t>
    </r>
    <phoneticPr fontId="6" type="noConversion"/>
  </si>
  <si>
    <r>
      <t>15</t>
    </r>
    <r>
      <rPr>
        <sz val="12"/>
        <color theme="1"/>
        <rFont val="新細明體"/>
        <family val="2"/>
        <charset val="136"/>
        <scheme val="minor"/>
      </rPr>
      <t>歲以上</t>
    </r>
    <r>
      <rPr>
        <sz val="12"/>
        <rFont val="Times New Roman"/>
        <family val="1"/>
      </rPr>
      <t>16</t>
    </r>
    <r>
      <rPr>
        <sz val="12"/>
        <color theme="1"/>
        <rFont val="新細明體"/>
        <family val="2"/>
        <charset val="136"/>
        <scheme val="minor"/>
      </rPr>
      <t>歲未滿</t>
    </r>
    <phoneticPr fontId="6" type="noConversion"/>
  </si>
  <si>
    <r>
      <t>16</t>
    </r>
    <r>
      <rPr>
        <sz val="12"/>
        <color theme="1"/>
        <rFont val="新細明體"/>
        <family val="2"/>
        <charset val="136"/>
        <scheme val="minor"/>
      </rPr>
      <t>歲以上</t>
    </r>
    <r>
      <rPr>
        <sz val="12"/>
        <rFont val="Times New Roman"/>
        <family val="1"/>
      </rPr>
      <t>17</t>
    </r>
    <r>
      <rPr>
        <sz val="12"/>
        <color theme="1"/>
        <rFont val="新細明體"/>
        <family val="2"/>
        <charset val="136"/>
        <scheme val="minor"/>
      </rPr>
      <t>歲未滿</t>
    </r>
    <phoneticPr fontId="6" type="noConversion"/>
  </si>
  <si>
    <r>
      <t>17</t>
    </r>
    <r>
      <rPr>
        <sz val="12"/>
        <color theme="1"/>
        <rFont val="新細明體"/>
        <family val="2"/>
        <charset val="136"/>
        <scheme val="minor"/>
      </rPr>
      <t>歲以上</t>
    </r>
    <r>
      <rPr>
        <sz val="12"/>
        <rFont val="Times New Roman"/>
        <family val="1"/>
      </rPr>
      <t>18</t>
    </r>
    <r>
      <rPr>
        <sz val="12"/>
        <color theme="1"/>
        <rFont val="新細明體"/>
        <family val="2"/>
        <charset val="136"/>
        <scheme val="minor"/>
      </rPr>
      <t>歲未滿</t>
    </r>
    <phoneticPr fontId="6" type="noConversion"/>
  </si>
  <si>
    <r>
      <rPr>
        <sz val="12"/>
        <color theme="1"/>
        <rFont val="新細明體"/>
        <family val="2"/>
        <charset val="136"/>
        <scheme val="minor"/>
      </rPr>
      <t>人</t>
    </r>
    <phoneticPr fontId="6" type="noConversion"/>
  </si>
  <si>
    <r>
      <rPr>
        <sz val="12"/>
        <color theme="1"/>
        <rFont val="新細明體"/>
        <family val="2"/>
        <charset val="136"/>
        <scheme val="minor"/>
      </rPr>
      <t>總計</t>
    </r>
    <phoneticPr fontId="6" type="noConversion"/>
  </si>
  <si>
    <r>
      <t>12</t>
    </r>
    <r>
      <rPr>
        <sz val="12"/>
        <color theme="1"/>
        <rFont val="新細明體"/>
        <family val="2"/>
        <charset val="136"/>
        <scheme val="minor"/>
      </rPr>
      <t>歲未滿</t>
    </r>
    <phoneticPr fontId="6" type="noConversion"/>
  </si>
  <si>
    <t>-</t>
    <phoneticPr fontId="21" type="noConversion"/>
  </si>
  <si>
    <r>
      <t>14</t>
    </r>
    <r>
      <rPr>
        <sz val="12"/>
        <color theme="1"/>
        <rFont val="新細明體"/>
        <family val="2"/>
        <charset val="136"/>
        <scheme val="minor"/>
      </rPr>
      <t>歲以上</t>
    </r>
    <r>
      <rPr>
        <sz val="12"/>
        <rFont val="Times New Roman"/>
        <family val="1"/>
      </rPr>
      <t>15</t>
    </r>
    <r>
      <rPr>
        <sz val="12"/>
        <color theme="1"/>
        <rFont val="新細明體"/>
        <family val="2"/>
        <charset val="136"/>
        <scheme val="minor"/>
      </rPr>
      <t>歲未滿</t>
    </r>
    <phoneticPr fontId="6" type="noConversion"/>
  </si>
  <si>
    <r>
      <t>15</t>
    </r>
    <r>
      <rPr>
        <sz val="12"/>
        <color theme="1"/>
        <rFont val="新細明體"/>
        <family val="2"/>
        <charset val="136"/>
        <scheme val="minor"/>
      </rPr>
      <t>歲以上</t>
    </r>
    <r>
      <rPr>
        <sz val="12"/>
        <rFont val="Times New Roman"/>
        <family val="1"/>
      </rPr>
      <t>16</t>
    </r>
    <r>
      <rPr>
        <sz val="12"/>
        <color theme="1"/>
        <rFont val="新細明體"/>
        <family val="2"/>
        <charset val="136"/>
        <scheme val="minor"/>
      </rPr>
      <t>歲未滿</t>
    </r>
    <phoneticPr fontId="6" type="noConversion"/>
  </si>
  <si>
    <r>
      <t>16</t>
    </r>
    <r>
      <rPr>
        <sz val="12"/>
        <color theme="1"/>
        <rFont val="新細明體"/>
        <family val="2"/>
        <charset val="136"/>
        <scheme val="minor"/>
      </rPr>
      <t>歲以上</t>
    </r>
    <r>
      <rPr>
        <sz val="12"/>
        <rFont val="Times New Roman"/>
        <family val="1"/>
      </rPr>
      <t>17</t>
    </r>
    <r>
      <rPr>
        <sz val="12"/>
        <color theme="1"/>
        <rFont val="新細明體"/>
        <family val="2"/>
        <charset val="136"/>
        <scheme val="minor"/>
      </rPr>
      <t>歲未滿</t>
    </r>
    <phoneticPr fontId="6" type="noConversion"/>
  </si>
  <si>
    <t xml:space="preserve">                    </t>
    <phoneticPr fontId="6" type="noConversion"/>
  </si>
  <si>
    <r>
      <rPr>
        <sz val="12"/>
        <color theme="1"/>
        <rFont val="新細明體"/>
        <family val="2"/>
      </rPr>
      <t>人</t>
    </r>
    <phoneticPr fontId="6" type="noConversion"/>
  </si>
  <si>
    <t>%</t>
    <phoneticPr fontId="6" type="noConversion"/>
  </si>
  <si>
    <r>
      <rPr>
        <sz val="12"/>
        <color theme="1"/>
        <rFont val="新細明體"/>
        <family val="2"/>
      </rPr>
      <t>總計</t>
    </r>
    <phoneticPr fontId="6" type="noConversion"/>
  </si>
  <si>
    <r>
      <rPr>
        <sz val="12"/>
        <color theme="1"/>
        <rFont val="新細明體"/>
        <family val="2"/>
      </rPr>
      <t>不識字</t>
    </r>
    <r>
      <rPr>
        <sz val="12"/>
        <rFont val="Times New Roman"/>
        <family val="1"/>
      </rPr>
      <t xml:space="preserve"> </t>
    </r>
    <phoneticPr fontId="6" type="noConversion"/>
  </si>
  <si>
    <r>
      <rPr>
        <sz val="12"/>
        <color theme="1"/>
        <rFont val="新細明體"/>
        <family val="2"/>
      </rPr>
      <t>國小畢業</t>
    </r>
    <phoneticPr fontId="6" type="noConversion"/>
  </si>
  <si>
    <r>
      <rPr>
        <sz val="12"/>
        <color theme="1"/>
        <rFont val="新細明體"/>
        <family val="2"/>
      </rPr>
      <t>國小肄業</t>
    </r>
    <r>
      <rPr>
        <sz val="12"/>
        <rFont val="Times New Roman"/>
        <family val="1"/>
      </rPr>
      <t/>
    </r>
    <phoneticPr fontId="6" type="noConversion"/>
  </si>
  <si>
    <r>
      <rPr>
        <sz val="12"/>
        <color theme="1"/>
        <rFont val="新細明體"/>
        <family val="2"/>
      </rPr>
      <t>國中畢業</t>
    </r>
    <phoneticPr fontId="6" type="noConversion"/>
  </si>
  <si>
    <r>
      <rPr>
        <sz val="12"/>
        <color theme="1"/>
        <rFont val="新細明體"/>
        <family val="2"/>
      </rPr>
      <t>國中肄業</t>
    </r>
    <r>
      <rPr>
        <sz val="12"/>
        <rFont val="Times New Roman"/>
        <family val="1"/>
      </rPr>
      <t/>
    </r>
    <phoneticPr fontId="6" type="noConversion"/>
  </si>
  <si>
    <r>
      <rPr>
        <sz val="12"/>
        <color theme="1"/>
        <rFont val="新細明體"/>
        <family val="2"/>
      </rPr>
      <t>大學</t>
    </r>
    <r>
      <rPr>
        <sz val="12"/>
        <rFont val="Times New Roman"/>
        <family val="1"/>
      </rPr>
      <t>(</t>
    </r>
    <r>
      <rPr>
        <sz val="12"/>
        <color theme="1"/>
        <rFont val="新細明體"/>
        <family val="2"/>
      </rPr>
      <t>專</t>
    </r>
    <r>
      <rPr>
        <sz val="12"/>
        <rFont val="Times New Roman"/>
        <family val="1"/>
      </rPr>
      <t>)</t>
    </r>
    <r>
      <rPr>
        <sz val="12"/>
        <color theme="1"/>
        <rFont val="新細明體"/>
        <family val="2"/>
      </rPr>
      <t>肄業</t>
    </r>
    <r>
      <rPr>
        <sz val="12"/>
        <rFont val="Times New Roman"/>
        <family val="1"/>
      </rPr>
      <t/>
    </r>
    <phoneticPr fontId="6" type="noConversion"/>
  </si>
  <si>
    <r>
      <rPr>
        <sz val="12"/>
        <color theme="1"/>
        <rFont val="新細明體"/>
        <family val="2"/>
      </rPr>
      <t>自修</t>
    </r>
    <phoneticPr fontId="6" type="noConversion"/>
  </si>
  <si>
    <r>
      <rPr>
        <sz val="12"/>
        <color theme="1"/>
        <rFont val="新細明體"/>
        <family val="2"/>
      </rPr>
      <t>總計</t>
    </r>
    <phoneticPr fontId="6" type="noConversion"/>
  </si>
  <si>
    <r>
      <rPr>
        <sz val="12"/>
        <color theme="1"/>
        <rFont val="新細明體"/>
        <family val="2"/>
      </rPr>
      <t>國中畢業</t>
    </r>
    <phoneticPr fontId="6" type="noConversion"/>
  </si>
  <si>
    <r>
      <rPr>
        <sz val="10"/>
        <rFont val="新細明體"/>
        <family val="1"/>
        <charset val="136"/>
      </rPr>
      <t>　　　　　</t>
    </r>
    <r>
      <rPr>
        <sz val="10"/>
        <rFont val="Times New Roman"/>
        <family val="1"/>
      </rPr>
      <t/>
    </r>
    <phoneticPr fontId="18" type="noConversion"/>
  </si>
  <si>
    <r>
      <rPr>
        <sz val="12"/>
        <color theme="1"/>
        <rFont val="新細明體"/>
        <family val="2"/>
        <charset val="136"/>
        <scheme val="minor"/>
      </rPr>
      <t>人數</t>
    </r>
    <phoneticPr fontId="6" type="noConversion"/>
  </si>
  <si>
    <r>
      <rPr>
        <sz val="12"/>
        <color theme="1"/>
        <rFont val="新細明體"/>
        <family val="2"/>
        <charset val="136"/>
        <scheme val="minor"/>
      </rPr>
      <t>百分比</t>
    </r>
    <phoneticPr fontId="6" type="noConversion"/>
  </si>
  <si>
    <r>
      <rPr>
        <sz val="12"/>
        <color theme="1"/>
        <rFont val="新細明體"/>
        <family val="2"/>
        <charset val="136"/>
        <scheme val="minor"/>
      </rPr>
      <t>人數</t>
    </r>
    <phoneticPr fontId="6" type="noConversion"/>
  </si>
  <si>
    <r>
      <rPr>
        <sz val="12"/>
        <color theme="1"/>
        <rFont val="新細明體"/>
        <family val="2"/>
        <charset val="136"/>
        <scheme val="minor"/>
      </rPr>
      <t>在校生</t>
    </r>
    <phoneticPr fontId="6" type="noConversion"/>
  </si>
  <si>
    <r>
      <rPr>
        <sz val="12"/>
        <color theme="1"/>
        <rFont val="新細明體"/>
        <family val="2"/>
        <charset val="136"/>
        <scheme val="minor"/>
      </rPr>
      <t>就業</t>
    </r>
    <phoneticPr fontId="6" type="noConversion"/>
  </si>
  <si>
    <r>
      <rPr>
        <sz val="12"/>
        <color theme="1"/>
        <rFont val="新細明體"/>
        <family val="2"/>
        <charset val="136"/>
        <scheme val="minor"/>
      </rPr>
      <t>輟學未就業</t>
    </r>
    <phoneticPr fontId="6" type="noConversion"/>
  </si>
  <si>
    <r>
      <rPr>
        <sz val="12"/>
        <color theme="1"/>
        <rFont val="新細明體"/>
        <family val="2"/>
        <charset val="136"/>
        <scheme val="minor"/>
      </rPr>
      <t>半工半讀</t>
    </r>
    <phoneticPr fontId="6" type="noConversion"/>
  </si>
  <si>
    <r>
      <rPr>
        <sz val="12"/>
        <color theme="1"/>
        <rFont val="新細明體"/>
        <family val="2"/>
        <charset val="136"/>
        <scheme val="minor"/>
      </rPr>
      <t>無業</t>
    </r>
    <phoneticPr fontId="6" type="noConversion"/>
  </si>
  <si>
    <r>
      <rPr>
        <sz val="12"/>
        <color theme="1"/>
        <rFont val="新細明體"/>
        <family val="2"/>
        <charset val="136"/>
        <scheme val="minor"/>
      </rPr>
      <t>總計</t>
    </r>
    <phoneticPr fontId="6" type="noConversion"/>
  </si>
  <si>
    <r>
      <rPr>
        <sz val="12"/>
        <color theme="1"/>
        <rFont val="新細明體"/>
        <family val="2"/>
        <charset val="136"/>
        <scheme val="minor"/>
      </rPr>
      <t>勉足維持生活</t>
    </r>
    <phoneticPr fontId="6" type="noConversion"/>
  </si>
  <si>
    <r>
      <rPr>
        <sz val="12"/>
        <color theme="1"/>
        <rFont val="新細明體"/>
        <family val="2"/>
        <charset val="136"/>
        <scheme val="minor"/>
      </rPr>
      <t>小康之家</t>
    </r>
    <phoneticPr fontId="6" type="noConversion"/>
  </si>
  <si>
    <r>
      <rPr>
        <sz val="12"/>
        <color theme="1"/>
        <rFont val="新細明體"/>
        <family val="2"/>
        <charset val="136"/>
        <scheme val="minor"/>
      </rPr>
      <t>低收入戶</t>
    </r>
    <phoneticPr fontId="6" type="noConversion"/>
  </si>
  <si>
    <r>
      <rPr>
        <sz val="12"/>
        <color theme="1"/>
        <rFont val="新細明體"/>
        <family val="2"/>
        <charset val="136"/>
        <scheme val="minor"/>
      </rPr>
      <t>中產以上</t>
    </r>
    <phoneticPr fontId="6" type="noConversion"/>
  </si>
  <si>
    <r>
      <rPr>
        <sz val="12"/>
        <color theme="1"/>
        <rFont val="新細明體"/>
        <family val="2"/>
        <charset val="136"/>
        <scheme val="minor"/>
      </rPr>
      <t>不詳</t>
    </r>
    <phoneticPr fontId="6" type="noConversion"/>
  </si>
  <si>
    <r>
      <rPr>
        <sz val="12"/>
        <color theme="1"/>
        <rFont val="新細明體"/>
        <family val="2"/>
        <charset val="136"/>
        <scheme val="minor"/>
      </rPr>
      <t>男</t>
    </r>
    <phoneticPr fontId="6" type="noConversion"/>
  </si>
  <si>
    <r>
      <rPr>
        <sz val="12"/>
        <color theme="1"/>
        <rFont val="新細明體"/>
        <family val="2"/>
        <charset val="136"/>
        <scheme val="minor"/>
      </rPr>
      <t>女</t>
    </r>
    <phoneticPr fontId="6" type="noConversion"/>
  </si>
  <si>
    <r>
      <rPr>
        <sz val="12"/>
        <color theme="1"/>
        <rFont val="新細明體"/>
        <family val="2"/>
        <charset val="136"/>
        <scheme val="minor"/>
      </rPr>
      <t>勉足維持生活</t>
    </r>
    <phoneticPr fontId="6" type="noConversion"/>
  </si>
  <si>
    <r>
      <rPr>
        <sz val="12"/>
        <color theme="1"/>
        <rFont val="新細明體"/>
        <family val="2"/>
        <charset val="136"/>
        <scheme val="minor"/>
      </rPr>
      <t>中產以上</t>
    </r>
    <phoneticPr fontId="6" type="noConversion"/>
  </si>
  <si>
    <r>
      <rPr>
        <sz val="10"/>
        <rFont val="標楷體"/>
        <family val="4"/>
        <charset val="136"/>
      </rPr>
      <t>　　　　　</t>
    </r>
    <r>
      <rPr>
        <sz val="10"/>
        <rFont val="Times New Roman"/>
        <family val="1"/>
      </rPr>
      <t/>
    </r>
    <phoneticPr fontId="6" type="noConversion"/>
  </si>
  <si>
    <r>
      <rPr>
        <sz val="12"/>
        <color theme="1"/>
        <rFont val="新細明體"/>
        <family val="2"/>
        <charset val="136"/>
        <scheme val="minor"/>
      </rPr>
      <t>人</t>
    </r>
    <phoneticPr fontId="6" type="noConversion"/>
  </si>
  <si>
    <t>%</t>
    <phoneticPr fontId="6" type="noConversion"/>
  </si>
  <si>
    <r>
      <rPr>
        <sz val="12"/>
        <color theme="1"/>
        <rFont val="新細明體"/>
        <family val="2"/>
        <charset val="136"/>
        <scheme val="minor"/>
      </rPr>
      <t>人</t>
    </r>
    <phoneticPr fontId="6" type="noConversion"/>
  </si>
  <si>
    <r>
      <rPr>
        <sz val="12"/>
        <color theme="1"/>
        <rFont val="新細明體"/>
        <family val="2"/>
        <charset val="136"/>
        <scheme val="minor"/>
      </rPr>
      <t>總計</t>
    </r>
    <phoneticPr fontId="6" type="noConversion"/>
  </si>
  <si>
    <r>
      <rPr>
        <sz val="12"/>
        <color theme="1"/>
        <rFont val="新細明體"/>
        <family val="2"/>
        <charset val="136"/>
        <scheme val="minor"/>
      </rPr>
      <t>父母俱存</t>
    </r>
    <phoneticPr fontId="6" type="noConversion"/>
  </si>
  <si>
    <r>
      <rPr>
        <sz val="12"/>
        <color theme="1"/>
        <rFont val="新細明體"/>
        <family val="2"/>
        <charset val="136"/>
        <scheme val="minor"/>
      </rPr>
      <t>母存父亡</t>
    </r>
    <phoneticPr fontId="6" type="noConversion"/>
  </si>
  <si>
    <r>
      <rPr>
        <sz val="12"/>
        <color theme="1"/>
        <rFont val="新細明體"/>
        <family val="2"/>
        <charset val="136"/>
        <scheme val="minor"/>
      </rPr>
      <t>父或母不詳</t>
    </r>
    <r>
      <rPr>
        <sz val="12"/>
        <rFont val="Times New Roman"/>
        <family val="1"/>
      </rPr>
      <t xml:space="preserve"> </t>
    </r>
    <phoneticPr fontId="6" type="noConversion"/>
  </si>
  <si>
    <r>
      <rPr>
        <sz val="12"/>
        <color theme="1"/>
        <rFont val="新細明體"/>
        <family val="2"/>
        <charset val="136"/>
        <scheme val="minor"/>
      </rPr>
      <t>父存母亡</t>
    </r>
    <phoneticPr fontId="6" type="noConversion"/>
  </si>
  <si>
    <r>
      <rPr>
        <sz val="12"/>
        <color theme="1"/>
        <rFont val="新細明體"/>
        <family val="2"/>
        <charset val="136"/>
        <scheme val="minor"/>
      </rPr>
      <t>父母俱亡</t>
    </r>
    <phoneticPr fontId="6" type="noConversion"/>
  </si>
  <si>
    <r>
      <t>105</t>
    </r>
    <r>
      <rPr>
        <sz val="12"/>
        <color theme="1"/>
        <rFont val="新細明體"/>
        <family val="2"/>
        <charset val="136"/>
        <scheme val="minor"/>
      </rPr>
      <t>年</t>
    </r>
    <phoneticPr fontId="6" type="noConversion"/>
  </si>
  <si>
    <t>%</t>
    <phoneticPr fontId="6" type="noConversion"/>
  </si>
  <si>
    <r>
      <rPr>
        <sz val="12"/>
        <color theme="1"/>
        <rFont val="新細明體"/>
        <family val="2"/>
        <charset val="136"/>
        <scheme val="minor"/>
      </rPr>
      <t>母存父亡</t>
    </r>
    <phoneticPr fontId="6" type="noConversion"/>
  </si>
  <si>
    <r>
      <rPr>
        <sz val="12"/>
        <color theme="1"/>
        <rFont val="新細明體"/>
        <family val="2"/>
        <charset val="136"/>
        <scheme val="minor"/>
      </rPr>
      <t>父或母不詳</t>
    </r>
    <r>
      <rPr>
        <sz val="12"/>
        <rFont val="Times New Roman"/>
        <family val="1"/>
      </rPr>
      <t xml:space="preserve"> </t>
    </r>
    <phoneticPr fontId="6" type="noConversion"/>
  </si>
  <si>
    <r>
      <rPr>
        <sz val="12"/>
        <color theme="1"/>
        <rFont val="新細明體"/>
        <family val="2"/>
        <charset val="136"/>
        <scheme val="minor"/>
      </rPr>
      <t>父母俱亡</t>
    </r>
    <phoneticPr fontId="6" type="noConversion"/>
  </si>
  <si>
    <r>
      <rPr>
        <sz val="12"/>
        <color theme="1"/>
        <rFont val="新細明體"/>
        <family val="2"/>
        <charset val="136"/>
        <scheme val="minor"/>
      </rPr>
      <t>人</t>
    </r>
    <phoneticPr fontId="6" type="noConversion"/>
  </si>
  <si>
    <r>
      <rPr>
        <sz val="12"/>
        <color theme="1"/>
        <rFont val="新細明體"/>
        <family val="2"/>
        <charset val="136"/>
        <scheme val="minor"/>
      </rPr>
      <t>父母離婚</t>
    </r>
    <phoneticPr fontId="6" type="noConversion"/>
  </si>
  <si>
    <r>
      <rPr>
        <sz val="12"/>
        <color theme="1"/>
        <rFont val="新細明體"/>
        <family val="2"/>
        <charset val="136"/>
        <scheme val="minor"/>
      </rPr>
      <t>正常</t>
    </r>
    <phoneticPr fontId="6" type="noConversion"/>
  </si>
  <si>
    <r>
      <rPr>
        <sz val="12"/>
        <color theme="1"/>
        <rFont val="新細明體"/>
        <family val="2"/>
        <charset val="136"/>
        <scheme val="minor"/>
      </rPr>
      <t>喪偶</t>
    </r>
    <phoneticPr fontId="6" type="noConversion"/>
  </si>
  <si>
    <r>
      <rPr>
        <sz val="12"/>
        <color theme="1"/>
        <rFont val="新細明體"/>
        <family val="2"/>
        <charset val="136"/>
        <scheme val="minor"/>
      </rPr>
      <t>離婚再婚</t>
    </r>
    <phoneticPr fontId="6" type="noConversion"/>
  </si>
  <si>
    <r>
      <rPr>
        <sz val="12"/>
        <color theme="1"/>
        <rFont val="新細明體"/>
        <family val="2"/>
        <charset val="136"/>
        <scheme val="minor"/>
      </rPr>
      <t>父母分居</t>
    </r>
    <phoneticPr fontId="6" type="noConversion"/>
  </si>
  <si>
    <r>
      <rPr>
        <sz val="12"/>
        <color theme="1"/>
        <rFont val="新細明體"/>
        <family val="2"/>
        <charset val="136"/>
        <scheme val="minor"/>
      </rPr>
      <t>喪偶再婚</t>
    </r>
    <phoneticPr fontId="6" type="noConversion"/>
  </si>
  <si>
    <r>
      <rPr>
        <sz val="12"/>
        <color theme="1"/>
        <rFont val="新細明體"/>
        <family val="2"/>
        <charset val="136"/>
        <scheme val="minor"/>
      </rPr>
      <t>其他</t>
    </r>
    <phoneticPr fontId="6" type="noConversion"/>
  </si>
  <si>
    <r>
      <rPr>
        <sz val="12"/>
        <color theme="1"/>
        <rFont val="新細明體"/>
        <family val="2"/>
        <charset val="136"/>
        <scheme val="minor"/>
      </rPr>
      <t>喪偶</t>
    </r>
    <phoneticPr fontId="6" type="noConversion"/>
  </si>
  <si>
    <r>
      <rPr>
        <sz val="12"/>
        <color theme="1"/>
        <rFont val="新細明體"/>
        <family val="2"/>
        <charset val="136"/>
        <scheme val="minor"/>
      </rPr>
      <t>離婚再婚</t>
    </r>
    <phoneticPr fontId="6" type="noConversion"/>
  </si>
  <si>
    <r>
      <rPr>
        <sz val="12"/>
        <color theme="1"/>
        <rFont val="新細明體"/>
        <family val="2"/>
        <charset val="136"/>
        <scheme val="minor"/>
      </rPr>
      <t>喪偶再婚</t>
    </r>
    <phoneticPr fontId="6" type="noConversion"/>
  </si>
  <si>
    <r>
      <rPr>
        <sz val="12"/>
        <color theme="1"/>
        <rFont val="新細明體"/>
        <family val="2"/>
        <charset val="136"/>
        <scheme val="minor"/>
      </rPr>
      <t>其他</t>
    </r>
    <phoneticPr fontId="6" type="noConversion"/>
  </si>
  <si>
    <r>
      <t>102年</t>
    </r>
    <r>
      <rPr>
        <sz val="12"/>
        <rFont val="Times New Roman"/>
        <family val="1"/>
      </rPr>
      <t/>
    </r>
  </si>
  <si>
    <r>
      <t>103年</t>
    </r>
    <r>
      <rPr>
        <sz val="12"/>
        <rFont val="Times New Roman"/>
        <family val="1"/>
      </rPr>
      <t/>
    </r>
  </si>
  <si>
    <r>
      <t>104年</t>
    </r>
    <r>
      <rPr>
        <sz val="12"/>
        <rFont val="Times New Roman"/>
        <family val="1"/>
      </rPr>
      <t/>
    </r>
  </si>
  <si>
    <r>
      <t>105年</t>
    </r>
    <r>
      <rPr>
        <sz val="12"/>
        <rFont val="Times New Roman"/>
        <family val="1"/>
      </rPr>
      <t/>
    </r>
  </si>
  <si>
    <r>
      <t>106年</t>
    </r>
    <r>
      <rPr>
        <sz val="12"/>
        <rFont val="Times New Roman"/>
        <family val="1"/>
      </rPr>
      <t/>
    </r>
  </si>
  <si>
    <r>
      <t>107年</t>
    </r>
    <r>
      <rPr>
        <sz val="12"/>
        <rFont val="Times New Roman"/>
        <family val="1"/>
      </rPr>
      <t/>
    </r>
  </si>
  <si>
    <r>
      <t>108年</t>
    </r>
    <r>
      <rPr>
        <sz val="12"/>
        <rFont val="Times New Roman"/>
        <family val="1"/>
      </rPr>
      <t/>
    </r>
  </si>
  <si>
    <r>
      <t>109年</t>
    </r>
    <r>
      <rPr>
        <sz val="12"/>
        <rFont val="Times New Roman"/>
        <family val="1"/>
      </rPr>
      <t/>
    </r>
  </si>
  <si>
    <r>
      <rPr>
        <sz val="12"/>
        <color theme="1"/>
        <rFont val="新細明體"/>
        <family val="2"/>
        <charset val="136"/>
        <scheme val="minor"/>
      </rPr>
      <t>總</t>
    </r>
    <r>
      <rPr>
        <sz val="12"/>
        <rFont val="Times New Roman"/>
        <family val="1"/>
      </rPr>
      <t xml:space="preserve">  </t>
    </r>
    <r>
      <rPr>
        <sz val="12"/>
        <color theme="1"/>
        <rFont val="新細明體"/>
        <family val="2"/>
        <charset val="136"/>
        <scheme val="minor"/>
      </rPr>
      <t>計</t>
    </r>
    <phoneticPr fontId="6" type="noConversion"/>
  </si>
  <si>
    <r>
      <t>14</t>
    </r>
    <r>
      <rPr>
        <sz val="12"/>
        <color theme="1"/>
        <rFont val="新細明體"/>
        <family val="2"/>
        <charset val="136"/>
        <scheme val="minor"/>
      </rPr>
      <t>歲以上</t>
    </r>
    <r>
      <rPr>
        <sz val="12"/>
        <rFont val="Times New Roman"/>
        <family val="1"/>
      </rPr>
      <t>15</t>
    </r>
    <r>
      <rPr>
        <sz val="12"/>
        <color theme="1"/>
        <rFont val="新細明體"/>
        <family val="2"/>
        <charset val="136"/>
        <scheme val="minor"/>
      </rPr>
      <t>歲未滿</t>
    </r>
    <phoneticPr fontId="6" type="noConversion"/>
  </si>
  <si>
    <r>
      <t>15</t>
    </r>
    <r>
      <rPr>
        <sz val="12"/>
        <color theme="1"/>
        <rFont val="新細明體"/>
        <family val="2"/>
        <charset val="136"/>
        <scheme val="minor"/>
      </rPr>
      <t>歲以上</t>
    </r>
    <r>
      <rPr>
        <sz val="12"/>
        <rFont val="Times New Roman"/>
        <family val="1"/>
      </rPr>
      <t>16</t>
    </r>
    <r>
      <rPr>
        <sz val="12"/>
        <color theme="1"/>
        <rFont val="新細明體"/>
        <family val="2"/>
        <charset val="136"/>
        <scheme val="minor"/>
      </rPr>
      <t>歲未滿</t>
    </r>
    <phoneticPr fontId="6" type="noConversion"/>
  </si>
  <si>
    <r>
      <t>16</t>
    </r>
    <r>
      <rPr>
        <sz val="12"/>
        <color theme="1"/>
        <rFont val="新細明體"/>
        <family val="2"/>
        <charset val="136"/>
        <scheme val="minor"/>
      </rPr>
      <t>歲以上</t>
    </r>
    <r>
      <rPr>
        <sz val="12"/>
        <rFont val="Times New Roman"/>
        <family val="1"/>
      </rPr>
      <t>17</t>
    </r>
    <r>
      <rPr>
        <sz val="12"/>
        <color theme="1"/>
        <rFont val="新細明體"/>
        <family val="2"/>
        <charset val="136"/>
        <scheme val="minor"/>
      </rPr>
      <t>歲未滿</t>
    </r>
    <phoneticPr fontId="6" type="noConversion"/>
  </si>
  <si>
    <r>
      <t>17</t>
    </r>
    <r>
      <rPr>
        <sz val="12"/>
        <color theme="1"/>
        <rFont val="新細明體"/>
        <family val="2"/>
        <charset val="136"/>
        <scheme val="minor"/>
      </rPr>
      <t>歲以上</t>
    </r>
    <r>
      <rPr>
        <sz val="12"/>
        <rFont val="Times New Roman"/>
        <family val="1"/>
      </rPr>
      <t>18</t>
    </r>
    <r>
      <rPr>
        <sz val="12"/>
        <color theme="1"/>
        <rFont val="新細明體"/>
        <family val="2"/>
        <charset val="136"/>
        <scheme val="minor"/>
      </rPr>
      <t>歲未滿</t>
    </r>
    <phoneticPr fontId="6" type="noConversion"/>
  </si>
  <si>
    <r>
      <t>14</t>
    </r>
    <r>
      <rPr>
        <sz val="12"/>
        <color theme="1"/>
        <rFont val="新細明體"/>
        <family val="2"/>
        <charset val="136"/>
        <scheme val="minor"/>
      </rPr>
      <t>歲以上</t>
    </r>
    <r>
      <rPr>
        <sz val="12"/>
        <rFont val="Times New Roman"/>
        <family val="1"/>
      </rPr>
      <t>15</t>
    </r>
    <r>
      <rPr>
        <sz val="12"/>
        <color theme="1"/>
        <rFont val="新細明體"/>
        <family val="2"/>
        <charset val="136"/>
        <scheme val="minor"/>
      </rPr>
      <t>歲未滿</t>
    </r>
    <phoneticPr fontId="6" type="noConversion"/>
  </si>
  <si>
    <r>
      <t>16</t>
    </r>
    <r>
      <rPr>
        <sz val="12"/>
        <color theme="1"/>
        <rFont val="新細明體"/>
        <family val="2"/>
        <charset val="136"/>
        <scheme val="minor"/>
      </rPr>
      <t>歲以上</t>
    </r>
    <r>
      <rPr>
        <sz val="12"/>
        <rFont val="Times New Roman"/>
        <family val="1"/>
      </rPr>
      <t>17</t>
    </r>
    <r>
      <rPr>
        <sz val="12"/>
        <color theme="1"/>
        <rFont val="新細明體"/>
        <family val="2"/>
        <charset val="136"/>
        <scheme val="minor"/>
      </rPr>
      <t>歲未滿</t>
    </r>
    <phoneticPr fontId="6" type="noConversion"/>
  </si>
  <si>
    <r>
      <t>14</t>
    </r>
    <r>
      <rPr>
        <sz val="12"/>
        <color theme="1"/>
        <rFont val="新細明體"/>
        <family val="2"/>
        <charset val="136"/>
        <scheme val="minor"/>
      </rPr>
      <t>歲以上</t>
    </r>
    <r>
      <rPr>
        <sz val="12"/>
        <rFont val="Times New Roman"/>
        <family val="1"/>
      </rPr>
      <t>15</t>
    </r>
    <r>
      <rPr>
        <sz val="12"/>
        <color theme="1"/>
        <rFont val="新細明體"/>
        <family val="2"/>
        <charset val="136"/>
        <scheme val="minor"/>
      </rPr>
      <t>歲未滿</t>
    </r>
    <phoneticPr fontId="6" type="noConversion"/>
  </si>
  <si>
    <r>
      <t>16</t>
    </r>
    <r>
      <rPr>
        <sz val="12"/>
        <color theme="1"/>
        <rFont val="新細明體"/>
        <family val="2"/>
        <charset val="136"/>
        <scheme val="minor"/>
      </rPr>
      <t>歲以上</t>
    </r>
    <r>
      <rPr>
        <sz val="12"/>
        <rFont val="Times New Roman"/>
        <family val="1"/>
      </rPr>
      <t>17</t>
    </r>
    <r>
      <rPr>
        <sz val="12"/>
        <color theme="1"/>
        <rFont val="新細明體"/>
        <family val="2"/>
        <charset val="136"/>
        <scheme val="minor"/>
      </rPr>
      <t>歲未滿</t>
    </r>
    <phoneticPr fontId="6" type="noConversion"/>
  </si>
  <si>
    <r>
      <t>17</t>
    </r>
    <r>
      <rPr>
        <sz val="12"/>
        <color theme="1"/>
        <rFont val="新細明體"/>
        <family val="2"/>
        <charset val="136"/>
        <scheme val="minor"/>
      </rPr>
      <t>歲以上</t>
    </r>
    <r>
      <rPr>
        <sz val="12"/>
        <rFont val="Times New Roman"/>
        <family val="1"/>
      </rPr>
      <t>18</t>
    </r>
    <r>
      <rPr>
        <sz val="12"/>
        <color theme="1"/>
        <rFont val="新細明體"/>
        <family val="2"/>
        <charset val="136"/>
        <scheme val="minor"/>
      </rPr>
      <t>歲未滿</t>
    </r>
    <phoneticPr fontId="6" type="noConversion"/>
  </si>
  <si>
    <r>
      <rPr>
        <sz val="12"/>
        <color theme="1"/>
        <rFont val="新細明體"/>
        <family val="2"/>
        <charset val="136"/>
        <scheme val="minor"/>
      </rPr>
      <t>人</t>
    </r>
    <phoneticPr fontId="6" type="noConversion"/>
  </si>
  <si>
    <r>
      <rPr>
        <sz val="12"/>
        <color theme="1"/>
        <rFont val="新細明體"/>
        <family val="2"/>
        <charset val="136"/>
        <scheme val="minor"/>
      </rPr>
      <t>男</t>
    </r>
    <phoneticPr fontId="6" type="noConversion"/>
  </si>
  <si>
    <r>
      <rPr>
        <sz val="12"/>
        <color theme="1"/>
        <rFont val="新細明體"/>
        <family val="2"/>
        <charset val="136"/>
        <scheme val="minor"/>
      </rPr>
      <t>女</t>
    </r>
    <phoneticPr fontId="6" type="noConversion"/>
  </si>
  <si>
    <r>
      <rPr>
        <sz val="12"/>
        <color theme="1"/>
        <rFont val="新細明體"/>
        <family val="2"/>
        <charset val="136"/>
        <scheme val="minor"/>
      </rPr>
      <t>不識字</t>
    </r>
    <r>
      <rPr>
        <sz val="12"/>
        <rFont val="Times New Roman"/>
        <family val="1"/>
      </rPr>
      <t xml:space="preserve"> </t>
    </r>
    <phoneticPr fontId="6" type="noConversion"/>
  </si>
  <si>
    <r>
      <rPr>
        <sz val="12"/>
        <color theme="1"/>
        <rFont val="新細明體"/>
        <family val="2"/>
        <charset val="136"/>
        <scheme val="minor"/>
      </rPr>
      <t>國小畢業</t>
    </r>
    <phoneticPr fontId="6" type="noConversion"/>
  </si>
  <si>
    <r>
      <rPr>
        <sz val="12"/>
        <color theme="1"/>
        <rFont val="新細明體"/>
        <family val="2"/>
        <charset val="136"/>
        <scheme val="minor"/>
      </rPr>
      <t>國小肄業</t>
    </r>
    <r>
      <rPr>
        <sz val="12"/>
        <rFont val="Times New Roman"/>
        <family val="1"/>
      </rPr>
      <t/>
    </r>
    <phoneticPr fontId="6" type="noConversion"/>
  </si>
  <si>
    <r>
      <rPr>
        <sz val="12"/>
        <color theme="1"/>
        <rFont val="新細明體"/>
        <family val="2"/>
        <charset val="136"/>
        <scheme val="minor"/>
      </rPr>
      <t>國中畢業</t>
    </r>
    <phoneticPr fontId="6" type="noConversion"/>
  </si>
  <si>
    <r>
      <rPr>
        <sz val="12"/>
        <color theme="1"/>
        <rFont val="新細明體"/>
        <family val="2"/>
        <charset val="136"/>
        <scheme val="minor"/>
      </rPr>
      <t>國中肄業</t>
    </r>
    <r>
      <rPr>
        <sz val="12"/>
        <rFont val="Times New Roman"/>
        <family val="1"/>
      </rPr>
      <t/>
    </r>
    <phoneticPr fontId="6" type="noConversion"/>
  </si>
  <si>
    <r>
      <rPr>
        <sz val="12"/>
        <color theme="1"/>
        <rFont val="新細明體"/>
        <family val="2"/>
        <charset val="136"/>
        <scheme val="minor"/>
      </rPr>
      <t>大學</t>
    </r>
    <r>
      <rPr>
        <sz val="12"/>
        <rFont val="Times New Roman"/>
        <family val="1"/>
      </rPr>
      <t>(</t>
    </r>
    <r>
      <rPr>
        <sz val="12"/>
        <color theme="1"/>
        <rFont val="新細明體"/>
        <family val="2"/>
        <charset val="136"/>
        <scheme val="minor"/>
      </rPr>
      <t>專</t>
    </r>
    <r>
      <rPr>
        <sz val="12"/>
        <rFont val="Times New Roman"/>
        <family val="1"/>
      </rPr>
      <t>)</t>
    </r>
    <r>
      <rPr>
        <sz val="12"/>
        <color theme="1"/>
        <rFont val="新細明體"/>
        <family val="2"/>
        <charset val="136"/>
        <scheme val="minor"/>
      </rPr>
      <t>肄業</t>
    </r>
    <r>
      <rPr>
        <sz val="12"/>
        <rFont val="Times New Roman"/>
        <family val="1"/>
      </rPr>
      <t/>
    </r>
    <phoneticPr fontId="6" type="noConversion"/>
  </si>
  <si>
    <r>
      <rPr>
        <sz val="12"/>
        <color theme="1"/>
        <rFont val="新細明體"/>
        <family val="2"/>
        <charset val="136"/>
        <scheme val="minor"/>
      </rPr>
      <t>不識字</t>
    </r>
    <r>
      <rPr>
        <sz val="12"/>
        <rFont val="Times New Roman"/>
        <family val="1"/>
      </rPr>
      <t xml:space="preserve"> </t>
    </r>
    <phoneticPr fontId="6" type="noConversion"/>
  </si>
  <si>
    <r>
      <rPr>
        <sz val="12"/>
        <color theme="1"/>
        <rFont val="新細明體"/>
        <family val="2"/>
        <charset val="136"/>
        <scheme val="minor"/>
      </rPr>
      <t>國小肄業</t>
    </r>
    <r>
      <rPr>
        <sz val="12"/>
        <rFont val="Times New Roman"/>
        <family val="1"/>
      </rPr>
      <t/>
    </r>
    <phoneticPr fontId="6" type="noConversion"/>
  </si>
  <si>
    <r>
      <rPr>
        <sz val="12"/>
        <color theme="1"/>
        <rFont val="新細明體"/>
        <family val="2"/>
        <charset val="136"/>
        <scheme val="minor"/>
      </rPr>
      <t>國中畢業</t>
    </r>
    <phoneticPr fontId="6" type="noConversion"/>
  </si>
  <si>
    <r>
      <rPr>
        <sz val="12"/>
        <color theme="1"/>
        <rFont val="新細明體"/>
        <family val="2"/>
        <charset val="136"/>
        <scheme val="minor"/>
      </rPr>
      <t>國中肄業</t>
    </r>
    <r>
      <rPr>
        <sz val="12"/>
        <rFont val="Times New Roman"/>
        <family val="1"/>
      </rPr>
      <t/>
    </r>
    <phoneticPr fontId="6" type="noConversion"/>
  </si>
  <si>
    <r>
      <rPr>
        <sz val="12"/>
        <color theme="1"/>
        <rFont val="新細明體"/>
        <family val="2"/>
        <charset val="136"/>
        <scheme val="minor"/>
      </rPr>
      <t>大學</t>
    </r>
    <r>
      <rPr>
        <sz val="12"/>
        <rFont val="Times New Roman"/>
        <family val="1"/>
      </rPr>
      <t>(</t>
    </r>
    <r>
      <rPr>
        <sz val="12"/>
        <color theme="1"/>
        <rFont val="新細明體"/>
        <family val="2"/>
        <charset val="136"/>
        <scheme val="minor"/>
      </rPr>
      <t>專</t>
    </r>
    <r>
      <rPr>
        <sz val="12"/>
        <rFont val="Times New Roman"/>
        <family val="1"/>
      </rPr>
      <t>)</t>
    </r>
    <r>
      <rPr>
        <sz val="12"/>
        <color theme="1"/>
        <rFont val="新細明體"/>
        <family val="2"/>
        <charset val="136"/>
        <scheme val="minor"/>
      </rPr>
      <t>肄業</t>
    </r>
    <r>
      <rPr>
        <sz val="12"/>
        <rFont val="Times New Roman"/>
        <family val="1"/>
      </rPr>
      <t/>
    </r>
    <phoneticPr fontId="6" type="noConversion"/>
  </si>
  <si>
    <r>
      <rPr>
        <sz val="12"/>
        <color theme="1"/>
        <rFont val="新細明體"/>
        <family val="2"/>
        <charset val="136"/>
        <scheme val="minor"/>
      </rPr>
      <t>總計</t>
    </r>
    <phoneticPr fontId="6" type="noConversion"/>
  </si>
  <si>
    <r>
      <rPr>
        <sz val="12"/>
        <color theme="1"/>
        <rFont val="新細明體"/>
        <family val="2"/>
        <charset val="136"/>
        <scheme val="minor"/>
      </rPr>
      <t>在校生</t>
    </r>
    <phoneticPr fontId="6" type="noConversion"/>
  </si>
  <si>
    <r>
      <rPr>
        <sz val="12"/>
        <color theme="1"/>
        <rFont val="新細明體"/>
        <family val="2"/>
        <charset val="136"/>
        <scheme val="minor"/>
      </rPr>
      <t>就業</t>
    </r>
    <phoneticPr fontId="6" type="noConversion"/>
  </si>
  <si>
    <r>
      <rPr>
        <sz val="12"/>
        <color theme="1"/>
        <rFont val="新細明體"/>
        <family val="2"/>
        <charset val="136"/>
        <scheme val="minor"/>
      </rPr>
      <t>無業</t>
    </r>
    <phoneticPr fontId="6" type="noConversion"/>
  </si>
  <si>
    <r>
      <rPr>
        <sz val="12"/>
        <color theme="1"/>
        <rFont val="新細明體"/>
        <family val="2"/>
        <charset val="136"/>
        <scheme val="minor"/>
      </rPr>
      <t>半工半讀</t>
    </r>
    <phoneticPr fontId="6" type="noConversion"/>
  </si>
  <si>
    <r>
      <rPr>
        <sz val="12"/>
        <color theme="1"/>
        <rFont val="新細明體"/>
        <family val="2"/>
        <charset val="136"/>
        <scheme val="minor"/>
      </rPr>
      <t>輟學未就業</t>
    </r>
    <phoneticPr fontId="6" type="noConversion"/>
  </si>
  <si>
    <r>
      <rPr>
        <sz val="12"/>
        <color theme="1"/>
        <rFont val="新細明體"/>
        <family val="2"/>
      </rPr>
      <t>人</t>
    </r>
    <phoneticPr fontId="6" type="noConversion"/>
  </si>
  <si>
    <r>
      <rPr>
        <sz val="12"/>
        <color theme="1"/>
        <rFont val="新細明體"/>
        <family val="2"/>
      </rPr>
      <t>人</t>
    </r>
    <phoneticPr fontId="6" type="noConversion"/>
  </si>
  <si>
    <t>%</t>
    <phoneticPr fontId="6" type="noConversion"/>
  </si>
  <si>
    <r>
      <rPr>
        <sz val="12"/>
        <color theme="1"/>
        <rFont val="新細明體"/>
        <family val="2"/>
      </rPr>
      <t>人</t>
    </r>
    <phoneticPr fontId="6" type="noConversion"/>
  </si>
  <si>
    <r>
      <rPr>
        <sz val="12"/>
        <color theme="1"/>
        <rFont val="新細明體"/>
        <family val="2"/>
      </rPr>
      <t>男</t>
    </r>
    <phoneticPr fontId="6" type="noConversion"/>
  </si>
  <si>
    <r>
      <rPr>
        <sz val="12"/>
        <color theme="1"/>
        <rFont val="新細明體"/>
        <family val="2"/>
      </rPr>
      <t>女</t>
    </r>
    <phoneticPr fontId="6" type="noConversion"/>
  </si>
  <si>
    <r>
      <rPr>
        <sz val="12"/>
        <color theme="1"/>
        <rFont val="新細明體"/>
        <family val="2"/>
      </rPr>
      <t>勉足維持生活</t>
    </r>
    <phoneticPr fontId="6" type="noConversion"/>
  </si>
  <si>
    <r>
      <rPr>
        <sz val="12"/>
        <color theme="1"/>
        <rFont val="新細明體"/>
        <family val="2"/>
      </rPr>
      <t>小康之家</t>
    </r>
    <phoneticPr fontId="6" type="noConversion"/>
  </si>
  <si>
    <r>
      <rPr>
        <sz val="12"/>
        <color theme="1"/>
        <rFont val="新細明體"/>
        <family val="2"/>
      </rPr>
      <t>低收入戶</t>
    </r>
    <phoneticPr fontId="6" type="noConversion"/>
  </si>
  <si>
    <r>
      <rPr>
        <sz val="12"/>
        <color theme="1"/>
        <rFont val="新細明體"/>
        <family val="2"/>
      </rPr>
      <t>中產以上</t>
    </r>
    <phoneticPr fontId="6" type="noConversion"/>
  </si>
  <si>
    <r>
      <rPr>
        <sz val="12"/>
        <color theme="1"/>
        <rFont val="新細明體"/>
        <family val="2"/>
      </rPr>
      <t>不詳</t>
    </r>
    <phoneticPr fontId="6" type="noConversion"/>
  </si>
  <si>
    <t>-</t>
    <phoneticPr fontId="6" type="noConversion"/>
  </si>
  <si>
    <r>
      <rPr>
        <sz val="12"/>
        <color theme="1"/>
        <rFont val="新細明體"/>
        <family val="2"/>
      </rPr>
      <t>總計</t>
    </r>
    <phoneticPr fontId="6" type="noConversion"/>
  </si>
  <si>
    <r>
      <rPr>
        <sz val="12"/>
        <color theme="1"/>
        <rFont val="新細明體"/>
        <family val="2"/>
      </rPr>
      <t>女</t>
    </r>
    <phoneticPr fontId="6" type="noConversion"/>
  </si>
  <si>
    <r>
      <rPr>
        <sz val="12"/>
        <color theme="1"/>
        <rFont val="新細明體"/>
        <family val="2"/>
      </rPr>
      <t>小康之家</t>
    </r>
    <phoneticPr fontId="6" type="noConversion"/>
  </si>
  <si>
    <r>
      <rPr>
        <sz val="12"/>
        <color theme="1"/>
        <rFont val="新細明體"/>
        <family val="2"/>
      </rPr>
      <t>低收入戶</t>
    </r>
    <phoneticPr fontId="6" type="noConversion"/>
  </si>
  <si>
    <r>
      <rPr>
        <sz val="12"/>
        <color theme="1"/>
        <rFont val="新細明體"/>
        <family val="2"/>
      </rPr>
      <t>中產以上</t>
    </r>
    <phoneticPr fontId="6" type="noConversion"/>
  </si>
  <si>
    <r>
      <rPr>
        <sz val="12"/>
        <color theme="1"/>
        <rFont val="新細明體"/>
        <family val="2"/>
        <charset val="136"/>
        <scheme val="minor"/>
      </rPr>
      <t>人</t>
    </r>
    <phoneticPr fontId="6" type="noConversion"/>
  </si>
  <si>
    <r>
      <rPr>
        <sz val="12"/>
        <color theme="1"/>
        <rFont val="新細明體"/>
        <family val="2"/>
        <charset val="136"/>
        <scheme val="minor"/>
      </rPr>
      <t>父母俱存</t>
    </r>
    <phoneticPr fontId="6" type="noConversion"/>
  </si>
  <si>
    <r>
      <rPr>
        <sz val="12"/>
        <color theme="1"/>
        <rFont val="新細明體"/>
        <family val="2"/>
        <charset val="136"/>
        <scheme val="minor"/>
      </rPr>
      <t>母存父亡</t>
    </r>
    <phoneticPr fontId="6" type="noConversion"/>
  </si>
  <si>
    <r>
      <rPr>
        <sz val="12"/>
        <color theme="1"/>
        <rFont val="新細明體"/>
        <family val="2"/>
        <charset val="136"/>
        <scheme val="minor"/>
      </rPr>
      <t>父存母亡</t>
    </r>
    <phoneticPr fontId="6" type="noConversion"/>
  </si>
  <si>
    <r>
      <rPr>
        <sz val="12"/>
        <color theme="1"/>
        <rFont val="新細明體"/>
        <family val="2"/>
        <charset val="136"/>
        <scheme val="minor"/>
      </rPr>
      <t>父或母不詳</t>
    </r>
    <r>
      <rPr>
        <sz val="12"/>
        <rFont val="Times New Roman"/>
        <family val="1"/>
      </rPr>
      <t xml:space="preserve"> </t>
    </r>
    <phoneticPr fontId="6" type="noConversion"/>
  </si>
  <si>
    <r>
      <rPr>
        <sz val="12"/>
        <color theme="1"/>
        <rFont val="新細明體"/>
        <family val="2"/>
        <charset val="136"/>
        <scheme val="minor"/>
      </rPr>
      <t>父母俱亡</t>
    </r>
    <phoneticPr fontId="6" type="noConversion"/>
  </si>
  <si>
    <r>
      <rPr>
        <sz val="12"/>
        <color theme="1"/>
        <rFont val="新細明體"/>
        <family val="2"/>
        <charset val="136"/>
        <scheme val="minor"/>
      </rPr>
      <t>父母俱存</t>
    </r>
    <phoneticPr fontId="6" type="noConversion"/>
  </si>
  <si>
    <r>
      <rPr>
        <sz val="12"/>
        <color theme="1"/>
        <rFont val="新細明體"/>
        <family val="2"/>
        <charset val="136"/>
        <scheme val="minor"/>
      </rPr>
      <t>父存母亡</t>
    </r>
    <phoneticPr fontId="6" type="noConversion"/>
  </si>
  <si>
    <r>
      <rPr>
        <sz val="12"/>
        <color theme="1"/>
        <rFont val="新細明體"/>
        <family val="2"/>
        <charset val="136"/>
        <scheme val="minor"/>
      </rPr>
      <t>父或母不詳</t>
    </r>
    <r>
      <rPr>
        <sz val="12"/>
        <rFont val="Times New Roman"/>
        <family val="1"/>
      </rPr>
      <t xml:space="preserve"> </t>
    </r>
    <phoneticPr fontId="6" type="noConversion"/>
  </si>
  <si>
    <r>
      <rPr>
        <sz val="12"/>
        <color theme="1"/>
        <rFont val="新細明體"/>
        <family val="2"/>
        <charset val="136"/>
        <scheme val="minor"/>
      </rPr>
      <t>父母離婚</t>
    </r>
    <phoneticPr fontId="6" type="noConversion"/>
  </si>
  <si>
    <r>
      <rPr>
        <sz val="12"/>
        <color theme="1"/>
        <rFont val="新細明體"/>
        <family val="2"/>
        <charset val="136"/>
        <scheme val="minor"/>
      </rPr>
      <t>正常</t>
    </r>
    <phoneticPr fontId="6" type="noConversion"/>
  </si>
  <si>
    <r>
      <rPr>
        <sz val="12"/>
        <color theme="1"/>
        <rFont val="新細明體"/>
        <family val="2"/>
        <charset val="136"/>
        <scheme val="minor"/>
      </rPr>
      <t>喪偶</t>
    </r>
    <phoneticPr fontId="6" type="noConversion"/>
  </si>
  <si>
    <r>
      <rPr>
        <sz val="12"/>
        <color theme="1"/>
        <rFont val="新細明體"/>
        <family val="2"/>
        <charset val="136"/>
        <scheme val="minor"/>
      </rPr>
      <t>離婚再婚</t>
    </r>
    <phoneticPr fontId="6" type="noConversion"/>
  </si>
  <si>
    <r>
      <rPr>
        <sz val="12"/>
        <color theme="1"/>
        <rFont val="新細明體"/>
        <family val="2"/>
        <charset val="136"/>
        <scheme val="minor"/>
      </rPr>
      <t>父母分居</t>
    </r>
    <phoneticPr fontId="6" type="noConversion"/>
  </si>
  <si>
    <r>
      <rPr>
        <sz val="12"/>
        <color theme="1"/>
        <rFont val="新細明體"/>
        <family val="2"/>
        <charset val="136"/>
        <scheme val="minor"/>
      </rPr>
      <t>喪偶再婚</t>
    </r>
    <phoneticPr fontId="6" type="noConversion"/>
  </si>
  <si>
    <r>
      <rPr>
        <sz val="12"/>
        <color theme="1"/>
        <rFont val="新細明體"/>
        <family val="2"/>
        <charset val="136"/>
        <scheme val="minor"/>
      </rPr>
      <t>其他</t>
    </r>
    <phoneticPr fontId="6" type="noConversion"/>
  </si>
  <si>
    <r>
      <rPr>
        <sz val="12"/>
        <color theme="1"/>
        <rFont val="新細明體"/>
        <family val="2"/>
        <charset val="136"/>
        <scheme val="minor"/>
      </rPr>
      <t>離婚再婚</t>
    </r>
    <phoneticPr fontId="6" type="noConversion"/>
  </si>
  <si>
    <r>
      <t>102年</t>
    </r>
    <r>
      <rPr>
        <sz val="12"/>
        <color theme="1"/>
        <rFont val="新細明體"/>
        <family val="1"/>
        <charset val="136"/>
      </rPr>
      <t/>
    </r>
  </si>
  <si>
    <r>
      <t>103年</t>
    </r>
    <r>
      <rPr>
        <sz val="12"/>
        <color theme="1"/>
        <rFont val="新細明體"/>
        <family val="1"/>
        <charset val="136"/>
      </rPr>
      <t/>
    </r>
  </si>
  <si>
    <r>
      <t>104年</t>
    </r>
    <r>
      <rPr>
        <sz val="12"/>
        <color theme="1"/>
        <rFont val="新細明體"/>
        <family val="1"/>
        <charset val="136"/>
      </rPr>
      <t/>
    </r>
  </si>
  <si>
    <r>
      <rPr>
        <sz val="12"/>
        <color theme="1"/>
        <rFont val="新細明體"/>
        <family val="1"/>
        <charset val="136"/>
      </rPr>
      <t>人數</t>
    </r>
    <phoneticPr fontId="6" type="noConversion"/>
  </si>
  <si>
    <r>
      <rPr>
        <sz val="12"/>
        <color theme="1"/>
        <rFont val="新細明體"/>
        <family val="1"/>
        <charset val="136"/>
      </rPr>
      <t>百分比</t>
    </r>
    <phoneticPr fontId="6" type="noConversion"/>
  </si>
  <si>
    <r>
      <rPr>
        <sz val="12"/>
        <color theme="1"/>
        <rFont val="新細明體"/>
        <family val="1"/>
        <charset val="136"/>
      </rPr>
      <t>人數</t>
    </r>
    <phoneticPr fontId="6" type="noConversion"/>
  </si>
  <si>
    <r>
      <rPr>
        <sz val="12"/>
        <color theme="1"/>
        <rFont val="新細明體"/>
        <family val="1"/>
        <charset val="136"/>
      </rPr>
      <t>百分比</t>
    </r>
    <phoneticPr fontId="6" type="noConversion"/>
  </si>
  <si>
    <r>
      <rPr>
        <sz val="12"/>
        <color theme="1"/>
        <rFont val="新細明體"/>
        <family val="1"/>
        <charset val="136"/>
      </rPr>
      <t>總計</t>
    </r>
    <phoneticPr fontId="6" type="noConversion"/>
  </si>
  <si>
    <r>
      <rPr>
        <sz val="12"/>
        <color theme="1"/>
        <rFont val="新細明體"/>
        <family val="1"/>
        <charset val="136"/>
      </rPr>
      <t>總計</t>
    </r>
    <phoneticPr fontId="6" type="noConversion"/>
  </si>
  <si>
    <t>總計</t>
    <phoneticPr fontId="18" type="noConversion"/>
  </si>
  <si>
    <r>
      <rPr>
        <sz val="11"/>
        <color theme="1"/>
        <rFont val="新細明體"/>
        <family val="1"/>
        <charset val="136"/>
        <scheme val="major"/>
      </rPr>
      <t>經常與有犯罪習性之人交往者</t>
    </r>
    <phoneticPr fontId="6" type="noConversion"/>
  </si>
  <si>
    <r>
      <rPr>
        <sz val="11"/>
        <color theme="1"/>
        <rFont val="新細明體"/>
        <family val="1"/>
        <charset val="136"/>
        <scheme val="major"/>
      </rPr>
      <t>經常出入少年不當進入之場所者</t>
    </r>
    <phoneticPr fontId="6" type="noConversion"/>
  </si>
  <si>
    <r>
      <rPr>
        <sz val="11"/>
        <color theme="1"/>
        <rFont val="新細明體"/>
        <family val="1"/>
        <charset val="136"/>
        <scheme val="major"/>
      </rPr>
      <t>經常逃學或逃家者</t>
    </r>
    <phoneticPr fontId="6" type="noConversion"/>
  </si>
  <si>
    <r>
      <rPr>
        <sz val="11"/>
        <color theme="1"/>
        <rFont val="新細明體"/>
        <family val="1"/>
        <charset val="136"/>
        <scheme val="major"/>
      </rPr>
      <t>參加不良組織者</t>
    </r>
    <phoneticPr fontId="6" type="noConversion"/>
  </si>
  <si>
    <t>無正當理由經常攜帶刀械者</t>
  </si>
  <si>
    <t>吸食或施打煙毒或麻醉藥品以外之迷幻物品者</t>
  </si>
  <si>
    <t>有預備犯罪或犯罪未遂而為法所不罰之行為者</t>
  </si>
  <si>
    <r>
      <t>106年</t>
    </r>
    <r>
      <rPr>
        <sz val="12"/>
        <color theme="1"/>
        <rFont val="新細明體"/>
        <family val="1"/>
        <charset val="136"/>
      </rPr>
      <t/>
    </r>
  </si>
  <si>
    <r>
      <t>107年</t>
    </r>
    <r>
      <rPr>
        <sz val="12"/>
        <color theme="1"/>
        <rFont val="新細明體"/>
        <family val="1"/>
        <charset val="136"/>
      </rPr>
      <t/>
    </r>
  </si>
  <si>
    <r>
      <t>108年</t>
    </r>
    <r>
      <rPr>
        <sz val="12"/>
        <color theme="1"/>
        <rFont val="新細明體"/>
        <family val="1"/>
        <charset val="136"/>
      </rPr>
      <t/>
    </r>
  </si>
  <si>
    <r>
      <t>109年</t>
    </r>
    <r>
      <rPr>
        <sz val="12"/>
        <color theme="1"/>
        <rFont val="新細明體"/>
        <family val="1"/>
        <charset val="136"/>
      </rPr>
      <t/>
    </r>
  </si>
  <si>
    <t>總計</t>
    <phoneticPr fontId="18" type="noConversion"/>
  </si>
  <si>
    <r>
      <rPr>
        <sz val="11"/>
        <color theme="1"/>
        <rFont val="新細明體"/>
        <family val="1"/>
        <charset val="136"/>
        <scheme val="major"/>
      </rPr>
      <t>經常與有犯罪習性之人交往者</t>
    </r>
    <phoneticPr fontId="6" type="noConversion"/>
  </si>
  <si>
    <r>
      <rPr>
        <sz val="11"/>
        <color theme="1"/>
        <rFont val="新細明體"/>
        <family val="1"/>
        <charset val="136"/>
        <scheme val="major"/>
      </rPr>
      <t>經常出入少年不當進入之場所者</t>
    </r>
    <phoneticPr fontId="6" type="noConversion"/>
  </si>
  <si>
    <r>
      <rPr>
        <sz val="11"/>
        <color theme="1"/>
        <rFont val="新細明體"/>
        <family val="1"/>
        <charset val="136"/>
        <scheme val="major"/>
      </rPr>
      <t>經常逃學或逃家者</t>
    </r>
    <phoneticPr fontId="6" type="noConversion"/>
  </si>
  <si>
    <r>
      <rPr>
        <sz val="11"/>
        <color theme="1"/>
        <rFont val="新細明體"/>
        <family val="1"/>
        <charset val="136"/>
        <scheme val="major"/>
      </rPr>
      <t>參加不良組織者</t>
    </r>
    <phoneticPr fontId="6" type="noConversion"/>
  </si>
  <si>
    <r>
      <rPr>
        <sz val="12"/>
        <color theme="1"/>
        <rFont val="新細明體"/>
        <family val="2"/>
      </rPr>
      <t>人</t>
    </r>
    <phoneticPr fontId="6" type="noConversion"/>
  </si>
  <si>
    <r>
      <rPr>
        <sz val="12"/>
        <color theme="1"/>
        <rFont val="新細明體"/>
        <family val="2"/>
      </rPr>
      <t>總計</t>
    </r>
    <phoneticPr fontId="6" type="noConversion"/>
  </si>
  <si>
    <r>
      <rPr>
        <sz val="12"/>
        <color theme="1"/>
        <rFont val="新細明體"/>
        <family val="2"/>
      </rPr>
      <t>男</t>
    </r>
    <phoneticPr fontId="6" type="noConversion"/>
  </si>
  <si>
    <r>
      <t>12</t>
    </r>
    <r>
      <rPr>
        <sz val="12"/>
        <color theme="1"/>
        <rFont val="新細明體"/>
        <family val="2"/>
      </rPr>
      <t>歲未滿</t>
    </r>
    <phoneticPr fontId="6" type="noConversion"/>
  </si>
  <si>
    <r>
      <t>12</t>
    </r>
    <r>
      <rPr>
        <sz val="12"/>
        <color theme="1"/>
        <rFont val="新細明體"/>
        <family val="2"/>
      </rPr>
      <t>歲以上</t>
    </r>
    <r>
      <rPr>
        <sz val="12"/>
        <rFont val="Times New Roman"/>
        <family val="1"/>
      </rPr>
      <t>13</t>
    </r>
    <r>
      <rPr>
        <sz val="12"/>
        <color theme="1"/>
        <rFont val="新細明體"/>
        <family val="2"/>
      </rPr>
      <t>歲未滿</t>
    </r>
    <phoneticPr fontId="6" type="noConversion"/>
  </si>
  <si>
    <r>
      <t>13</t>
    </r>
    <r>
      <rPr>
        <sz val="12"/>
        <color theme="1"/>
        <rFont val="新細明體"/>
        <family val="2"/>
      </rPr>
      <t>歲以上</t>
    </r>
    <r>
      <rPr>
        <sz val="12"/>
        <rFont val="Times New Roman"/>
        <family val="1"/>
      </rPr>
      <t>14</t>
    </r>
    <r>
      <rPr>
        <sz val="12"/>
        <color theme="1"/>
        <rFont val="新細明體"/>
        <family val="2"/>
      </rPr>
      <t>歲未滿</t>
    </r>
    <phoneticPr fontId="6" type="noConversion"/>
  </si>
  <si>
    <r>
      <t>14</t>
    </r>
    <r>
      <rPr>
        <sz val="12"/>
        <color theme="1"/>
        <rFont val="新細明體"/>
        <family val="2"/>
      </rPr>
      <t>歲以上</t>
    </r>
    <r>
      <rPr>
        <sz val="12"/>
        <rFont val="Times New Roman"/>
        <family val="1"/>
      </rPr>
      <t>15</t>
    </r>
    <r>
      <rPr>
        <sz val="12"/>
        <color theme="1"/>
        <rFont val="新細明體"/>
        <family val="2"/>
      </rPr>
      <t>歲未滿</t>
    </r>
    <phoneticPr fontId="6" type="noConversion"/>
  </si>
  <si>
    <r>
      <t>15</t>
    </r>
    <r>
      <rPr>
        <sz val="12"/>
        <color theme="1"/>
        <rFont val="新細明體"/>
        <family val="2"/>
      </rPr>
      <t>歲以上</t>
    </r>
    <r>
      <rPr>
        <sz val="12"/>
        <rFont val="Times New Roman"/>
        <family val="1"/>
      </rPr>
      <t>16</t>
    </r>
    <r>
      <rPr>
        <sz val="12"/>
        <color theme="1"/>
        <rFont val="新細明體"/>
        <family val="2"/>
      </rPr>
      <t>歲未滿</t>
    </r>
    <phoneticPr fontId="6" type="noConversion"/>
  </si>
  <si>
    <r>
      <t>16</t>
    </r>
    <r>
      <rPr>
        <sz val="12"/>
        <color theme="1"/>
        <rFont val="新細明體"/>
        <family val="2"/>
      </rPr>
      <t>歲以上</t>
    </r>
    <r>
      <rPr>
        <sz val="12"/>
        <rFont val="Times New Roman"/>
        <family val="1"/>
      </rPr>
      <t>17</t>
    </r>
    <r>
      <rPr>
        <sz val="12"/>
        <color theme="1"/>
        <rFont val="新細明體"/>
        <family val="2"/>
      </rPr>
      <t>歲未滿</t>
    </r>
    <phoneticPr fontId="6" type="noConversion"/>
  </si>
  <si>
    <r>
      <t>17</t>
    </r>
    <r>
      <rPr>
        <sz val="12"/>
        <color theme="1"/>
        <rFont val="新細明體"/>
        <family val="2"/>
      </rPr>
      <t>歲以上</t>
    </r>
    <r>
      <rPr>
        <sz val="12"/>
        <rFont val="Times New Roman"/>
        <family val="1"/>
      </rPr>
      <t>18</t>
    </r>
    <r>
      <rPr>
        <sz val="12"/>
        <color theme="1"/>
        <rFont val="新細明體"/>
        <family val="2"/>
      </rPr>
      <t>歲未滿</t>
    </r>
    <phoneticPr fontId="6" type="noConversion"/>
  </si>
  <si>
    <r>
      <rPr>
        <sz val="12"/>
        <color theme="1"/>
        <rFont val="新細明體"/>
        <family val="2"/>
      </rPr>
      <t>男</t>
    </r>
    <phoneticPr fontId="6" type="noConversion"/>
  </si>
  <si>
    <r>
      <t>12</t>
    </r>
    <r>
      <rPr>
        <sz val="12"/>
        <color theme="1"/>
        <rFont val="新細明體"/>
        <family val="2"/>
      </rPr>
      <t>歲未滿</t>
    </r>
    <phoneticPr fontId="6" type="noConversion"/>
  </si>
  <si>
    <r>
      <t>14</t>
    </r>
    <r>
      <rPr>
        <sz val="12"/>
        <color theme="1"/>
        <rFont val="新細明體"/>
        <family val="2"/>
      </rPr>
      <t>歲以上</t>
    </r>
    <r>
      <rPr>
        <sz val="12"/>
        <rFont val="Times New Roman"/>
        <family val="1"/>
      </rPr>
      <t>15</t>
    </r>
    <r>
      <rPr>
        <sz val="12"/>
        <color theme="1"/>
        <rFont val="新細明體"/>
        <family val="2"/>
      </rPr>
      <t>歲未滿</t>
    </r>
    <phoneticPr fontId="6" type="noConversion"/>
  </si>
  <si>
    <r>
      <t>16</t>
    </r>
    <r>
      <rPr>
        <sz val="12"/>
        <color theme="1"/>
        <rFont val="新細明體"/>
        <family val="2"/>
      </rPr>
      <t>歲以上</t>
    </r>
    <r>
      <rPr>
        <sz val="12"/>
        <rFont val="Times New Roman"/>
        <family val="1"/>
      </rPr>
      <t>17</t>
    </r>
    <r>
      <rPr>
        <sz val="12"/>
        <color theme="1"/>
        <rFont val="新細明體"/>
        <family val="2"/>
      </rPr>
      <t>歲未滿</t>
    </r>
    <phoneticPr fontId="6" type="noConversion"/>
  </si>
  <si>
    <r>
      <rPr>
        <sz val="12"/>
        <color theme="1"/>
        <rFont val="新細明體"/>
        <family val="2"/>
      </rPr>
      <t>國小畢業</t>
    </r>
    <phoneticPr fontId="6" type="noConversion"/>
  </si>
  <si>
    <r>
      <rPr>
        <sz val="12"/>
        <color theme="1"/>
        <rFont val="新細明體"/>
        <family val="2"/>
      </rPr>
      <t>國小肄業</t>
    </r>
    <phoneticPr fontId="6" type="noConversion"/>
  </si>
  <si>
    <r>
      <rPr>
        <sz val="12"/>
        <color theme="1"/>
        <rFont val="新細明體"/>
        <family val="2"/>
      </rPr>
      <t>國中肄業</t>
    </r>
    <r>
      <rPr>
        <sz val="12"/>
        <rFont val="Times New Roman"/>
        <family val="1"/>
      </rPr>
      <t/>
    </r>
    <phoneticPr fontId="6" type="noConversion"/>
  </si>
  <si>
    <r>
      <rPr>
        <sz val="12"/>
        <color theme="1"/>
        <rFont val="新細明體"/>
        <family val="2"/>
      </rPr>
      <t>高中</t>
    </r>
    <r>
      <rPr>
        <sz val="12"/>
        <rFont val="Times New Roman"/>
        <family val="1"/>
      </rPr>
      <t>(</t>
    </r>
    <r>
      <rPr>
        <sz val="12"/>
        <color theme="1"/>
        <rFont val="新細明體"/>
        <family val="2"/>
      </rPr>
      <t>職</t>
    </r>
    <r>
      <rPr>
        <sz val="12"/>
        <rFont val="Times New Roman"/>
        <family val="1"/>
      </rPr>
      <t>)</t>
    </r>
    <r>
      <rPr>
        <sz val="12"/>
        <color theme="1"/>
        <rFont val="新細明體"/>
        <family val="2"/>
      </rPr>
      <t>畢業</t>
    </r>
    <phoneticPr fontId="6" type="noConversion"/>
  </si>
  <si>
    <r>
      <rPr>
        <sz val="12"/>
        <color theme="1"/>
        <rFont val="新細明體"/>
        <family val="2"/>
      </rPr>
      <t>高中</t>
    </r>
    <r>
      <rPr>
        <sz val="12"/>
        <rFont val="Times New Roman"/>
        <family val="1"/>
      </rPr>
      <t>(</t>
    </r>
    <r>
      <rPr>
        <sz val="12"/>
        <color theme="1"/>
        <rFont val="新細明體"/>
        <family val="2"/>
      </rPr>
      <t>職</t>
    </r>
    <r>
      <rPr>
        <sz val="12"/>
        <rFont val="Times New Roman"/>
        <family val="1"/>
      </rPr>
      <t>)</t>
    </r>
    <r>
      <rPr>
        <sz val="12"/>
        <color theme="1"/>
        <rFont val="新細明體"/>
        <family val="2"/>
      </rPr>
      <t>肄業</t>
    </r>
    <r>
      <rPr>
        <sz val="12"/>
        <rFont val="Times New Roman"/>
        <family val="1"/>
      </rPr>
      <t/>
    </r>
    <phoneticPr fontId="6" type="noConversion"/>
  </si>
  <si>
    <r>
      <rPr>
        <sz val="12"/>
        <color theme="1"/>
        <rFont val="新細明體"/>
        <family val="2"/>
      </rPr>
      <t>大學</t>
    </r>
    <r>
      <rPr>
        <sz val="12"/>
        <rFont val="Times New Roman"/>
        <family val="1"/>
      </rPr>
      <t>(</t>
    </r>
    <r>
      <rPr>
        <sz val="12"/>
        <color theme="1"/>
        <rFont val="新細明體"/>
        <family val="2"/>
      </rPr>
      <t>專</t>
    </r>
    <r>
      <rPr>
        <sz val="12"/>
        <rFont val="Times New Roman"/>
        <family val="1"/>
      </rPr>
      <t>)</t>
    </r>
    <r>
      <rPr>
        <sz val="12"/>
        <color theme="1"/>
        <rFont val="新細明體"/>
        <family val="2"/>
      </rPr>
      <t>肄業</t>
    </r>
    <r>
      <rPr>
        <sz val="12"/>
        <rFont val="Times New Roman"/>
        <family val="1"/>
      </rPr>
      <t/>
    </r>
    <phoneticPr fontId="6" type="noConversion"/>
  </si>
  <si>
    <r>
      <rPr>
        <sz val="12"/>
        <color theme="1"/>
        <rFont val="新細明體"/>
        <family val="2"/>
      </rPr>
      <t>自修</t>
    </r>
    <phoneticPr fontId="6" type="noConversion"/>
  </si>
  <si>
    <r>
      <rPr>
        <sz val="12"/>
        <color theme="1"/>
        <rFont val="新細明體"/>
        <family val="2"/>
      </rPr>
      <t>人數</t>
    </r>
    <phoneticPr fontId="6" type="noConversion"/>
  </si>
  <si>
    <r>
      <rPr>
        <sz val="12"/>
        <color theme="1"/>
        <rFont val="新細明體"/>
        <family val="2"/>
      </rPr>
      <t>百分比</t>
    </r>
    <phoneticPr fontId="6" type="noConversion"/>
  </si>
  <si>
    <r>
      <rPr>
        <sz val="12"/>
        <color theme="1"/>
        <rFont val="新細明體"/>
        <family val="2"/>
      </rPr>
      <t>百分比</t>
    </r>
    <phoneticPr fontId="6" type="noConversion"/>
  </si>
  <si>
    <r>
      <rPr>
        <sz val="12"/>
        <color theme="1"/>
        <rFont val="新細明體"/>
        <family val="2"/>
      </rPr>
      <t>百分比</t>
    </r>
    <phoneticPr fontId="6" type="noConversion"/>
  </si>
  <si>
    <r>
      <rPr>
        <sz val="12"/>
        <color theme="1"/>
        <rFont val="新細明體"/>
        <family val="2"/>
      </rPr>
      <t>總計</t>
    </r>
    <phoneticPr fontId="6" type="noConversion"/>
  </si>
  <si>
    <r>
      <rPr>
        <sz val="12"/>
        <color theme="1"/>
        <rFont val="新細明體"/>
        <family val="2"/>
      </rPr>
      <t>在校生</t>
    </r>
    <phoneticPr fontId="6" type="noConversion"/>
  </si>
  <si>
    <r>
      <rPr>
        <sz val="12"/>
        <color theme="1"/>
        <rFont val="新細明體"/>
        <family val="2"/>
      </rPr>
      <t>輟學未就業</t>
    </r>
    <phoneticPr fontId="6" type="noConversion"/>
  </si>
  <si>
    <r>
      <rPr>
        <sz val="12"/>
        <color theme="1"/>
        <rFont val="新細明體"/>
        <family val="2"/>
      </rPr>
      <t>就業</t>
    </r>
    <phoneticPr fontId="6" type="noConversion"/>
  </si>
  <si>
    <r>
      <rPr>
        <sz val="12"/>
        <color theme="1"/>
        <rFont val="新細明體"/>
        <family val="2"/>
      </rPr>
      <t>無業</t>
    </r>
    <phoneticPr fontId="6" type="noConversion"/>
  </si>
  <si>
    <r>
      <rPr>
        <sz val="12"/>
        <color theme="1"/>
        <rFont val="新細明體"/>
        <family val="2"/>
      </rPr>
      <t>半工半讀</t>
    </r>
    <phoneticPr fontId="6" type="noConversion"/>
  </si>
  <si>
    <r>
      <rPr>
        <sz val="12"/>
        <color theme="1"/>
        <rFont val="新細明體"/>
        <family val="2"/>
      </rPr>
      <t>人數</t>
    </r>
    <phoneticPr fontId="6" type="noConversion"/>
  </si>
  <si>
    <r>
      <rPr>
        <sz val="12"/>
        <color theme="1"/>
        <rFont val="新細明體"/>
        <family val="2"/>
      </rPr>
      <t>百分比</t>
    </r>
    <phoneticPr fontId="6" type="noConversion"/>
  </si>
  <si>
    <r>
      <rPr>
        <sz val="12"/>
        <color theme="1"/>
        <rFont val="新細明體"/>
        <family val="2"/>
      </rPr>
      <t>總計</t>
    </r>
    <phoneticPr fontId="6" type="noConversion"/>
  </si>
  <si>
    <r>
      <rPr>
        <sz val="12"/>
        <color theme="1"/>
        <rFont val="新細明體"/>
        <family val="2"/>
      </rPr>
      <t>總計</t>
    </r>
    <phoneticPr fontId="6" type="noConversion"/>
  </si>
  <si>
    <r>
      <rPr>
        <sz val="12"/>
        <color theme="1"/>
        <rFont val="新細明體"/>
        <family val="2"/>
        <charset val="136"/>
        <scheme val="minor"/>
      </rPr>
      <t>總計</t>
    </r>
    <phoneticPr fontId="6" type="noConversion"/>
  </si>
  <si>
    <r>
      <rPr>
        <sz val="12"/>
        <color theme="1"/>
        <rFont val="新細明體"/>
        <family val="2"/>
        <charset val="136"/>
        <scheme val="minor"/>
      </rPr>
      <t>父母俱存</t>
    </r>
    <phoneticPr fontId="6" type="noConversion"/>
  </si>
  <si>
    <r>
      <rPr>
        <sz val="12"/>
        <color theme="1"/>
        <rFont val="新細明體"/>
        <family val="2"/>
        <charset val="136"/>
        <scheme val="minor"/>
      </rPr>
      <t>母存父亡</t>
    </r>
    <phoneticPr fontId="6" type="noConversion"/>
  </si>
  <si>
    <r>
      <rPr>
        <sz val="12"/>
        <color theme="1"/>
        <rFont val="新細明體"/>
        <family val="2"/>
        <charset val="136"/>
        <scheme val="minor"/>
      </rPr>
      <t>父存母亡</t>
    </r>
    <phoneticPr fontId="6" type="noConversion"/>
  </si>
  <si>
    <r>
      <rPr>
        <sz val="12"/>
        <color theme="1"/>
        <rFont val="新細明體"/>
        <family val="2"/>
        <charset val="136"/>
        <scheme val="minor"/>
      </rPr>
      <t>父母俱亡</t>
    </r>
    <phoneticPr fontId="6" type="noConversion"/>
  </si>
  <si>
    <r>
      <rPr>
        <sz val="12"/>
        <color theme="1"/>
        <rFont val="新細明體"/>
        <family val="2"/>
        <charset val="136"/>
        <scheme val="minor"/>
      </rPr>
      <t>父母俱存</t>
    </r>
    <phoneticPr fontId="6" type="noConversion"/>
  </si>
  <si>
    <r>
      <rPr>
        <sz val="12"/>
        <color theme="1"/>
        <rFont val="新細明體"/>
        <family val="2"/>
        <charset val="136"/>
        <scheme val="minor"/>
      </rPr>
      <t>父存母亡</t>
    </r>
    <phoneticPr fontId="6" type="noConversion"/>
  </si>
  <si>
    <r>
      <rPr>
        <sz val="12"/>
        <color theme="1"/>
        <rFont val="新細明體"/>
        <family val="2"/>
        <charset val="136"/>
        <scheme val="minor"/>
      </rPr>
      <t>父母分居</t>
    </r>
    <phoneticPr fontId="6" type="noConversion"/>
  </si>
  <si>
    <r>
      <rPr>
        <sz val="12"/>
        <color theme="1"/>
        <rFont val="新細明體"/>
        <family val="2"/>
        <charset val="136"/>
        <scheme val="minor"/>
      </rPr>
      <t>其他</t>
    </r>
    <phoneticPr fontId="6" type="noConversion"/>
  </si>
  <si>
    <r>
      <rPr>
        <sz val="12"/>
        <color theme="1"/>
        <rFont val="新細明體"/>
        <family val="2"/>
        <charset val="136"/>
        <scheme val="minor"/>
      </rPr>
      <t>總計</t>
    </r>
    <phoneticPr fontId="18" type="noConversion"/>
  </si>
  <si>
    <r>
      <t xml:space="preserve"> </t>
    </r>
    <r>
      <rPr>
        <sz val="12"/>
        <color theme="1"/>
        <rFont val="新細明體"/>
        <family val="2"/>
        <charset val="136"/>
        <scheme val="minor"/>
      </rPr>
      <t>人</t>
    </r>
    <phoneticPr fontId="18" type="noConversion"/>
  </si>
  <si>
    <t xml:space="preserve"> %</t>
    <phoneticPr fontId="18" type="noConversion"/>
  </si>
  <si>
    <r>
      <rPr>
        <sz val="10"/>
        <rFont val="新細明體"/>
        <family val="1"/>
        <charset val="136"/>
      </rPr>
      <t>說　　明：本表不含待執行感化教育、留置觀察及保護管束之少年人數。</t>
    </r>
    <phoneticPr fontId="18" type="noConversion"/>
  </si>
  <si>
    <r>
      <rPr>
        <sz val="12"/>
        <color theme="1"/>
        <rFont val="新細明體"/>
        <family val="2"/>
        <charset val="136"/>
        <scheme val="minor"/>
      </rPr>
      <t>計</t>
    </r>
    <phoneticPr fontId="18" type="noConversion"/>
  </si>
  <si>
    <r>
      <rPr>
        <sz val="12"/>
        <color theme="1"/>
        <rFont val="新細明體"/>
        <family val="2"/>
        <charset val="136"/>
        <scheme val="minor"/>
      </rPr>
      <t>男</t>
    </r>
    <phoneticPr fontId="18" type="noConversion"/>
  </si>
  <si>
    <r>
      <rPr>
        <sz val="12"/>
        <color theme="1"/>
        <rFont val="新細明體"/>
        <family val="2"/>
        <charset val="136"/>
        <scheme val="minor"/>
      </rPr>
      <t>女</t>
    </r>
    <phoneticPr fontId="18" type="noConversion"/>
  </si>
  <si>
    <r>
      <rPr>
        <sz val="12"/>
        <color theme="1"/>
        <rFont val="新細明體"/>
        <family val="2"/>
        <charset val="136"/>
        <scheme val="minor"/>
      </rPr>
      <t>人</t>
    </r>
    <phoneticPr fontId="18" type="noConversion"/>
  </si>
  <si>
    <t>%</t>
  </si>
  <si>
    <r>
      <t>12</t>
    </r>
    <r>
      <rPr>
        <sz val="12"/>
        <color theme="1"/>
        <rFont val="新細明體"/>
        <family val="2"/>
        <charset val="136"/>
        <scheme val="minor"/>
      </rPr>
      <t>歲未滿</t>
    </r>
    <phoneticPr fontId="18" type="noConversion"/>
  </si>
  <si>
    <r>
      <t>18</t>
    </r>
    <r>
      <rPr>
        <sz val="12"/>
        <color theme="1"/>
        <rFont val="新細明體"/>
        <family val="2"/>
        <charset val="136"/>
        <scheme val="minor"/>
      </rPr>
      <t>歲以上</t>
    </r>
    <r>
      <rPr>
        <sz val="12"/>
        <rFont val="Times New Roman"/>
        <family val="1"/>
      </rPr>
      <t xml:space="preserve">  </t>
    </r>
    <phoneticPr fontId="18" type="noConversion"/>
  </si>
  <si>
    <r>
      <rPr>
        <sz val="12"/>
        <color theme="1"/>
        <rFont val="新細明體"/>
        <family val="2"/>
        <charset val="136"/>
        <scheme val="minor"/>
      </rPr>
      <t>總計</t>
    </r>
    <r>
      <rPr>
        <sz val="12"/>
        <rFont val="Times New Roman"/>
        <family val="1"/>
      </rPr>
      <t xml:space="preserve"> </t>
    </r>
  </si>
  <si>
    <r>
      <rPr>
        <sz val="12"/>
        <color theme="1"/>
        <rFont val="新細明體"/>
        <family val="2"/>
        <charset val="136"/>
        <scheme val="minor"/>
      </rPr>
      <t>貧困無以維生</t>
    </r>
  </si>
  <si>
    <r>
      <rPr>
        <sz val="12"/>
        <color theme="1"/>
        <rFont val="新細明體"/>
        <family val="2"/>
        <charset val="136"/>
        <scheme val="minor"/>
      </rPr>
      <t>勉足維持生活</t>
    </r>
  </si>
  <si>
    <r>
      <rPr>
        <sz val="12"/>
        <color theme="1"/>
        <rFont val="新細明體"/>
        <family val="2"/>
        <charset val="136"/>
        <scheme val="minor"/>
      </rPr>
      <t>小康之家</t>
    </r>
  </si>
  <si>
    <r>
      <rPr>
        <sz val="12"/>
        <color theme="1"/>
        <rFont val="新細明體"/>
        <family val="2"/>
        <charset val="136"/>
        <scheme val="minor"/>
      </rPr>
      <t>中產以上</t>
    </r>
  </si>
  <si>
    <r>
      <rPr>
        <sz val="12"/>
        <color theme="1"/>
        <rFont val="新細明體"/>
        <family val="2"/>
        <charset val="136"/>
        <scheme val="minor"/>
      </rPr>
      <t>不詳</t>
    </r>
  </si>
  <si>
    <r>
      <rPr>
        <sz val="12"/>
        <color theme="1"/>
        <rFont val="新細明體"/>
        <family val="2"/>
        <charset val="136"/>
        <scheme val="minor"/>
      </rPr>
      <t>總計</t>
    </r>
  </si>
  <si>
    <r>
      <t xml:space="preserve">  </t>
    </r>
    <r>
      <rPr>
        <sz val="12"/>
        <color theme="1"/>
        <rFont val="新細明體"/>
        <family val="2"/>
        <charset val="136"/>
        <scheme val="minor"/>
      </rPr>
      <t>人</t>
    </r>
  </si>
  <si>
    <t xml:space="preserve">  %</t>
  </si>
  <si>
    <r>
      <rPr>
        <sz val="12"/>
        <color theme="1"/>
        <rFont val="新細明體"/>
        <family val="2"/>
        <charset val="136"/>
        <scheme val="minor"/>
      </rPr>
      <t>總計</t>
    </r>
    <r>
      <rPr>
        <sz val="12"/>
        <rFont val="Times New Roman"/>
        <family val="1"/>
      </rPr>
      <t xml:space="preserve">   </t>
    </r>
    <phoneticPr fontId="18" type="noConversion"/>
  </si>
  <si>
    <r>
      <t xml:space="preserve"> </t>
    </r>
    <r>
      <rPr>
        <sz val="12"/>
        <color theme="1"/>
        <rFont val="新細明體"/>
        <family val="2"/>
        <charset val="136"/>
        <scheme val="minor"/>
      </rPr>
      <t>人</t>
    </r>
  </si>
  <si>
    <t xml:space="preserve"> %</t>
  </si>
  <si>
    <r>
      <rPr>
        <sz val="12"/>
        <color theme="1"/>
        <rFont val="新細明體"/>
        <family val="2"/>
        <charset val="136"/>
        <scheme val="minor"/>
      </rPr>
      <t>　　　男</t>
    </r>
    <r>
      <rPr>
        <sz val="12"/>
        <rFont val="Times New Roman"/>
        <family val="1"/>
      </rPr>
      <t xml:space="preserve">           </t>
    </r>
  </si>
  <si>
    <r>
      <rPr>
        <sz val="12"/>
        <color theme="1"/>
        <rFont val="新細明體"/>
        <family val="2"/>
        <charset val="136"/>
        <scheme val="minor"/>
      </rPr>
      <t>　　　女</t>
    </r>
    <r>
      <rPr>
        <sz val="12"/>
        <rFont val="Times New Roman"/>
        <family val="1"/>
      </rPr>
      <t xml:space="preserve">         </t>
    </r>
  </si>
  <si>
    <r>
      <rPr>
        <sz val="10"/>
        <color theme="1"/>
        <rFont val="新細明體"/>
        <family val="1"/>
        <charset val="136"/>
      </rPr>
      <t>單位：人、人</t>
    </r>
    <r>
      <rPr>
        <sz val="10"/>
        <color theme="1"/>
        <rFont val="Times New Roman"/>
        <family val="1"/>
      </rPr>
      <t>/10</t>
    </r>
    <r>
      <rPr>
        <sz val="10"/>
        <color theme="1"/>
        <rFont val="新細明體"/>
        <family val="1"/>
        <charset val="136"/>
      </rPr>
      <t>萬人</t>
    </r>
    <phoneticPr fontId="6" type="noConversion"/>
  </si>
  <si>
    <r>
      <rPr>
        <sz val="12"/>
        <color theme="1"/>
        <rFont val="新細明體"/>
        <family val="1"/>
        <charset val="136"/>
      </rPr>
      <t>成</t>
    </r>
    <r>
      <rPr>
        <sz val="12"/>
        <color theme="1"/>
        <rFont val="Times New Roman"/>
        <family val="1"/>
      </rPr>
      <t xml:space="preserve">    </t>
    </r>
    <r>
      <rPr>
        <sz val="12"/>
        <color theme="1"/>
        <rFont val="新細明體"/>
        <family val="1"/>
        <charset val="136"/>
      </rPr>
      <t>年</t>
    </r>
    <r>
      <rPr>
        <sz val="12"/>
        <color theme="1"/>
        <rFont val="Times New Roman"/>
        <family val="1"/>
      </rPr>
      <t/>
    </r>
    <phoneticPr fontId="6" type="noConversion"/>
  </si>
  <si>
    <r>
      <rPr>
        <sz val="12"/>
        <color theme="1"/>
        <rFont val="新細明體"/>
        <family val="1"/>
        <charset val="136"/>
      </rPr>
      <t>少</t>
    </r>
    <r>
      <rPr>
        <sz val="12"/>
        <color theme="1"/>
        <rFont val="Times New Roman"/>
        <family val="1"/>
      </rPr>
      <t xml:space="preserve">    </t>
    </r>
    <r>
      <rPr>
        <sz val="12"/>
        <color theme="1"/>
        <rFont val="新細明體"/>
        <family val="1"/>
        <charset val="136"/>
      </rPr>
      <t>年</t>
    </r>
    <phoneticPr fontId="6" type="noConversion"/>
  </si>
  <si>
    <t>年中人口數</t>
    <phoneticPr fontId="6" type="noConversion"/>
  </si>
  <si>
    <t>年中人口數</t>
    <phoneticPr fontId="6" type="noConversion"/>
  </si>
  <si>
    <t>少年曝險事件</t>
    <phoneticPr fontId="6" type="noConversion"/>
  </si>
  <si>
    <t>少年觸法事件</t>
    <phoneticPr fontId="6" type="noConversion"/>
  </si>
  <si>
    <t>總計</t>
  </si>
  <si>
    <t>總計</t>
    <phoneticPr fontId="6" type="noConversion"/>
  </si>
  <si>
    <t>　　移送地檢署</t>
    <phoneticPr fontId="6" type="noConversion"/>
  </si>
  <si>
    <t>小計</t>
    <phoneticPr fontId="6" type="noConversion"/>
  </si>
  <si>
    <t>　　不付審理總計</t>
    <phoneticPr fontId="6" type="noConversion"/>
  </si>
  <si>
    <t>　　　　應不付審理</t>
    <phoneticPr fontId="6" type="noConversion"/>
  </si>
  <si>
    <t>　　開始審理</t>
    <phoneticPr fontId="6" type="noConversion"/>
  </si>
  <si>
    <t>　　協尋</t>
    <phoneticPr fontId="6" type="noConversion"/>
  </si>
  <si>
    <t>　　併辦</t>
    <phoneticPr fontId="6" type="noConversion"/>
  </si>
  <si>
    <t>　　其他</t>
    <phoneticPr fontId="6" type="noConversion"/>
  </si>
  <si>
    <t>終結情形︵人︶</t>
    <phoneticPr fontId="6" type="noConversion"/>
  </si>
  <si>
    <t>說　　明：本表之少年觸法，為少年觸犯刑罰法令。本表以下皆同。</t>
    <phoneticPr fontId="6" type="noConversion"/>
  </si>
  <si>
    <t>小計</t>
    <phoneticPr fontId="6" type="noConversion"/>
  </si>
  <si>
    <r>
      <rPr>
        <sz val="10"/>
        <rFont val="新細明體"/>
        <family val="1"/>
        <charset val="136"/>
      </rPr>
      <t>　　　　　</t>
    </r>
    <r>
      <rPr>
        <sz val="10"/>
        <rFont val="Times New Roman"/>
        <family val="1"/>
      </rPr>
      <t xml:space="preserve">2. </t>
    </r>
    <r>
      <rPr>
        <sz val="10"/>
        <rFont val="新細明體"/>
        <family val="1"/>
        <charset val="136"/>
      </rPr>
      <t>不付保護處分含：不應交付、不宜交付、其他項。</t>
    </r>
    <phoneticPr fontId="6" type="noConversion"/>
  </si>
  <si>
    <t>科刑小計</t>
    <phoneticPr fontId="6" type="noConversion"/>
  </si>
  <si>
    <t>有期徒刑小計</t>
    <phoneticPr fontId="6" type="noConversion"/>
  </si>
  <si>
    <t>六月以下</t>
    <phoneticPr fontId="6" type="noConversion"/>
  </si>
  <si>
    <r>
      <rPr>
        <sz val="12"/>
        <color theme="1"/>
        <rFont val="新細明體"/>
        <family val="2"/>
        <charset val="136"/>
        <scheme val="minor"/>
      </rPr>
      <t>逾六月至一年以下</t>
    </r>
    <phoneticPr fontId="6" type="noConversion"/>
  </si>
  <si>
    <r>
      <rPr>
        <sz val="12"/>
        <color theme="1"/>
        <rFont val="新細明體"/>
        <family val="2"/>
        <charset val="136"/>
        <scheme val="minor"/>
      </rPr>
      <t>逾一年至二年以下</t>
    </r>
    <phoneticPr fontId="6" type="noConversion"/>
  </si>
  <si>
    <r>
      <rPr>
        <sz val="12"/>
        <color theme="1"/>
        <rFont val="新細明體"/>
        <family val="2"/>
        <charset val="136"/>
        <scheme val="minor"/>
      </rPr>
      <t>逾二年至三年以下</t>
    </r>
    <phoneticPr fontId="6" type="noConversion"/>
  </si>
  <si>
    <r>
      <rPr>
        <sz val="12"/>
        <color theme="1"/>
        <rFont val="新細明體"/>
        <family val="2"/>
        <charset val="136"/>
        <scheme val="minor"/>
      </rPr>
      <t>逾三年至五年以下</t>
    </r>
    <phoneticPr fontId="6" type="noConversion"/>
  </si>
  <si>
    <r>
      <rPr>
        <sz val="12"/>
        <color theme="1"/>
        <rFont val="新細明體"/>
        <family val="2"/>
        <charset val="136"/>
        <scheme val="minor"/>
      </rPr>
      <t>逾五年至七年以下</t>
    </r>
    <phoneticPr fontId="6" type="noConversion"/>
  </si>
  <si>
    <r>
      <rPr>
        <sz val="12"/>
        <color theme="1"/>
        <rFont val="新細明體"/>
        <family val="2"/>
        <charset val="136"/>
        <scheme val="minor"/>
      </rPr>
      <t>逾七年至十年以下</t>
    </r>
    <phoneticPr fontId="6" type="noConversion"/>
  </si>
  <si>
    <r>
      <rPr>
        <sz val="12"/>
        <color theme="1"/>
        <rFont val="新細明體"/>
        <family val="2"/>
        <charset val="136"/>
        <scheme val="minor"/>
      </rPr>
      <t>逾十年至十五年以下</t>
    </r>
    <phoneticPr fontId="6" type="noConversion"/>
  </si>
  <si>
    <r>
      <rPr>
        <sz val="12"/>
        <color theme="1"/>
        <rFont val="新細明體"/>
        <family val="2"/>
        <charset val="136"/>
        <scheme val="minor"/>
      </rPr>
      <t>逾十五年</t>
    </r>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</si>
  <si>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10914-03-02-05)</t>
    </r>
    <r>
      <rPr>
        <sz val="10"/>
        <rFont val="新細明體"/>
        <family val="1"/>
        <charset val="136"/>
      </rPr>
      <t>。</t>
    </r>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</si>
  <si>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10914-02-03-05)</t>
    </r>
    <r>
      <rPr>
        <sz val="10"/>
        <rFont val="新細明體"/>
        <family val="1"/>
        <charset val="136"/>
      </rPr>
      <t>。</t>
    </r>
    <phoneticPr fontId="6" type="noConversion"/>
  </si>
  <si>
    <t>總計</t>
    <phoneticPr fontId="6" type="noConversion"/>
  </si>
  <si>
    <t>總計</t>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</si>
  <si>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10914-03-04-05)</t>
    </r>
    <r>
      <rPr>
        <sz val="10"/>
        <rFont val="新細明體"/>
        <family val="1"/>
        <charset val="136"/>
      </rPr>
      <t>。</t>
    </r>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</si>
  <si>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10914-03-05-05) </t>
    </r>
    <r>
      <rPr>
        <sz val="10"/>
        <rFont val="新細明體"/>
        <family val="1"/>
        <charset val="136"/>
      </rPr>
      <t>。</t>
    </r>
    <phoneticPr fontId="6" type="noConversion"/>
  </si>
  <si>
    <t>男</t>
    <phoneticPr fontId="6" type="noConversion"/>
  </si>
  <si>
    <t>女</t>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</si>
  <si>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10914-03-06-05) </t>
    </r>
    <r>
      <rPr>
        <sz val="10"/>
        <rFont val="新細明體"/>
        <family val="1"/>
        <charset val="136"/>
      </rPr>
      <t>。</t>
    </r>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</si>
  <si>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10914-03-04-05)</t>
    </r>
    <r>
      <rPr>
        <sz val="10"/>
        <rFont val="新細明體"/>
        <family val="1"/>
        <charset val="136"/>
      </rPr>
      <t>。</t>
    </r>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</si>
  <si>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10914-03-04-05)</t>
    </r>
    <r>
      <rPr>
        <sz val="10"/>
        <rFont val="新細明體"/>
        <family val="1"/>
        <charset val="136"/>
      </rPr>
      <t>。</t>
    </r>
    <phoneticPr fontId="6" type="noConversion"/>
  </si>
  <si>
    <t>兒少性剝削防制條例</t>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</si>
  <si>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10914-02-05-05)</t>
    </r>
    <r>
      <rPr>
        <sz val="10"/>
        <rFont val="新細明體"/>
        <family val="1"/>
        <charset val="136"/>
      </rPr>
      <t>。</t>
    </r>
    <phoneticPr fontId="6" type="noConversion"/>
  </si>
  <si>
    <t>總計</t>
    <phoneticPr fontId="6" type="noConversion"/>
  </si>
  <si>
    <r>
      <rPr>
        <sz val="10"/>
        <rFont val="新細明體"/>
        <family val="1"/>
        <charset val="136"/>
      </rPr>
      <t>說</t>
    </r>
    <r>
      <rPr>
        <sz val="10"/>
        <rFont val="Times New Roman"/>
        <family val="1"/>
      </rPr>
      <t xml:space="preserve">         </t>
    </r>
    <r>
      <rPr>
        <sz val="10"/>
        <rFont val="新細明體"/>
        <family val="1"/>
        <charset val="136"/>
      </rPr>
      <t>明：本表刑事案件，係指當年度經法院裁判且經個案調查的少年。</t>
    </r>
    <phoneticPr fontId="6" type="noConversion"/>
  </si>
  <si>
    <r>
      <rPr>
        <sz val="10"/>
        <rFont val="新細明體"/>
        <family val="1"/>
        <charset val="136"/>
      </rPr>
      <t>說</t>
    </r>
    <r>
      <rPr>
        <sz val="10"/>
        <rFont val="Times New Roman"/>
        <family val="1"/>
      </rPr>
      <t xml:space="preserve">         </t>
    </r>
    <r>
      <rPr>
        <sz val="10"/>
        <rFont val="新細明體"/>
        <family val="1"/>
        <charset val="136"/>
      </rPr>
      <t>明：本表刑事案件，係指當年度經法院裁判且經個案調查的少年。</t>
    </r>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</si>
  <si>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10914-02-06-05) </t>
    </r>
    <r>
      <rPr>
        <sz val="10"/>
        <rFont val="新細明體"/>
        <family val="1"/>
        <charset val="136"/>
      </rPr>
      <t>。</t>
    </r>
    <phoneticPr fontId="6" type="noConversion"/>
  </si>
  <si>
    <r>
      <t>說　　明：</t>
    </r>
    <r>
      <rPr>
        <sz val="10"/>
        <rFont val="Times New Roman"/>
        <family val="1"/>
      </rPr>
      <t xml:space="preserve">1. </t>
    </r>
    <r>
      <rPr>
        <sz val="10"/>
        <rFont val="新細明體"/>
        <family val="1"/>
        <charset val="136"/>
      </rPr>
      <t>肄業含在校及離校。
　　　　　</t>
    </r>
    <r>
      <rPr>
        <sz val="10"/>
        <rFont val="Times New Roman"/>
        <family val="1"/>
      </rPr>
      <t xml:space="preserve">2. </t>
    </r>
    <r>
      <rPr>
        <sz val="10"/>
        <rFont val="新細明體"/>
        <family val="1"/>
        <charset val="136"/>
      </rPr>
      <t>本表刑事案件，係指當年度經法院裁判且經個案調查的少年。</t>
    </r>
    <phoneticPr fontId="18" type="noConversion"/>
  </si>
  <si>
    <t>男</t>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</si>
  <si>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10914-02-07-05) </t>
    </r>
    <r>
      <rPr>
        <sz val="10"/>
        <rFont val="新細明體"/>
        <family val="1"/>
        <charset val="136"/>
      </rPr>
      <t>。</t>
    </r>
    <phoneticPr fontId="6" type="noConversion"/>
  </si>
  <si>
    <t>說　　明：本表刑事案件，係指當年度經法院裁判且經個案調查的少年。</t>
    <phoneticPr fontId="6" type="noConversion"/>
  </si>
  <si>
    <r>
      <rPr>
        <sz val="10"/>
        <rFont val="細明體"/>
        <family val="3"/>
        <charset val="136"/>
      </rPr>
      <t>資料來源：司法院</t>
    </r>
    <r>
      <rPr>
        <sz val="10"/>
        <rFont val="Times New Roman"/>
        <family val="1"/>
      </rPr>
      <t xml:space="preserve"> (</t>
    </r>
    <r>
      <rPr>
        <sz val="10"/>
        <rFont val="細明體"/>
        <family val="3"/>
        <charset val="136"/>
      </rPr>
      <t>表</t>
    </r>
    <r>
      <rPr>
        <sz val="10"/>
        <rFont val="Times New Roman"/>
        <family val="1"/>
      </rPr>
      <t>10914-02-05-05)</t>
    </r>
    <r>
      <rPr>
        <sz val="10"/>
        <rFont val="細明體"/>
        <family val="3"/>
        <charset val="136"/>
      </rPr>
      <t>。</t>
    </r>
    <r>
      <rPr>
        <sz val="10"/>
        <rFont val="Times New Roman"/>
        <family val="1"/>
      </rPr>
      <t xml:space="preserve">
</t>
    </r>
    <r>
      <rPr>
        <sz val="10"/>
        <rFont val="細明體"/>
        <family val="3"/>
        <charset val="136"/>
      </rPr>
      <t>說　　明：</t>
    </r>
    <r>
      <rPr>
        <sz val="10"/>
        <rFont val="Times New Roman"/>
        <family val="1"/>
      </rPr>
      <t xml:space="preserve">1. </t>
    </r>
    <r>
      <rPr>
        <sz val="10"/>
        <rFont val="細明體"/>
        <family val="3"/>
        <charset val="136"/>
      </rPr>
      <t>本表原始檔案總計人數和前表不同，敬請留意。
　　　　　</t>
    </r>
    <r>
      <rPr>
        <sz val="10"/>
        <rFont val="Times New Roman"/>
        <family val="1"/>
      </rPr>
      <t xml:space="preserve">2. </t>
    </r>
    <r>
      <rPr>
        <sz val="10"/>
        <rFont val="細明體"/>
        <family val="3"/>
        <charset val="136"/>
      </rPr>
      <t>本表刑事案件，係指當年度經法院裁判且經個案調查的少年。</t>
    </r>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</si>
  <si>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10914-02-05-05)</t>
    </r>
    <r>
      <rPr>
        <sz val="10"/>
        <rFont val="新細明體"/>
        <family val="1"/>
        <charset val="136"/>
      </rPr>
      <t>。</t>
    </r>
    <phoneticPr fontId="6" type="noConversion"/>
  </si>
  <si>
    <r>
      <rPr>
        <sz val="10"/>
        <rFont val="新細明體"/>
        <family val="1"/>
        <charset val="136"/>
      </rPr>
      <t>說</t>
    </r>
    <r>
      <rPr>
        <sz val="10"/>
        <rFont val="Times New Roman"/>
        <family val="1"/>
      </rPr>
      <t xml:space="preserve">         </t>
    </r>
    <r>
      <rPr>
        <sz val="10"/>
        <rFont val="新細明體"/>
        <family val="1"/>
        <charset val="136"/>
      </rPr>
      <t>明：本表刑事案件，係指當年度經法院裁判且經個案調查的少年。</t>
    </r>
    <phoneticPr fontId="6" type="noConversion"/>
  </si>
  <si>
    <t>吸食或施打煙毒或麻醉藥品以外之迷幻物品者</t>
    <phoneticPr fontId="5" type="noConversion"/>
  </si>
  <si>
    <t>有預備犯罪或犯罪未遂而為法所不罰之行為者</t>
    <phoneticPr fontId="5" type="noConversion"/>
  </si>
  <si>
    <r>
      <rPr>
        <sz val="10"/>
        <color theme="1"/>
        <rFont val="新細明體"/>
        <family val="1"/>
        <charset val="136"/>
      </rPr>
      <t>資料來源：司法院</t>
    </r>
    <r>
      <rPr>
        <sz val="10"/>
        <color theme="1"/>
        <rFont val="Times New Roman"/>
        <family val="1"/>
      </rPr>
      <t xml:space="preserve"> (</t>
    </r>
    <r>
      <rPr>
        <sz val="10"/>
        <color theme="1"/>
        <rFont val="新細明體"/>
        <family val="1"/>
        <charset val="136"/>
      </rPr>
      <t>表</t>
    </r>
    <r>
      <rPr>
        <sz val="10"/>
        <color theme="1"/>
        <rFont val="Times New Roman"/>
        <family val="1"/>
      </rPr>
      <t>10914-03-04-05)</t>
    </r>
    <r>
      <rPr>
        <sz val="10"/>
        <color theme="1"/>
        <rFont val="新細明體"/>
        <family val="1"/>
        <charset val="136"/>
      </rPr>
      <t>。</t>
    </r>
    <phoneticPr fontId="6" type="noConversion"/>
  </si>
  <si>
    <t>男</t>
    <phoneticPr fontId="6" type="noConversion"/>
  </si>
  <si>
    <t>女</t>
    <phoneticPr fontId="6" type="noConversion"/>
  </si>
  <si>
    <t>-</t>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</si>
  <si>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10914-03-05-05) </t>
    </r>
    <r>
      <rPr>
        <sz val="10"/>
        <rFont val="新細明體"/>
        <family val="1"/>
        <charset val="136"/>
      </rPr>
      <t>。</t>
    </r>
    <phoneticPr fontId="6" type="noConversion"/>
  </si>
  <si>
    <t>女</t>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</si>
  <si>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10914-03-04-05)</t>
    </r>
    <r>
      <rPr>
        <sz val="10"/>
        <rFont val="新細明體"/>
        <family val="1"/>
        <charset val="136"/>
      </rPr>
      <t>。</t>
    </r>
    <phoneticPr fontId="6" type="noConversion"/>
  </si>
  <si>
    <t>資料來源：法務部統計處。</t>
  </si>
  <si>
    <r>
      <rPr>
        <sz val="12"/>
        <color theme="1"/>
        <rFont val="新細明體"/>
        <family val="2"/>
        <charset val="136"/>
        <scheme val="minor"/>
      </rPr>
      <t>女</t>
    </r>
    <r>
      <rPr>
        <sz val="12"/>
        <rFont val="Times New Roman"/>
        <family val="1"/>
      </rPr>
      <t xml:space="preserve">         </t>
    </r>
    <phoneticPr fontId="18" type="noConversion"/>
  </si>
  <si>
    <r>
      <rPr>
        <sz val="12"/>
        <color theme="1"/>
        <rFont val="新細明體"/>
        <family val="2"/>
        <charset val="136"/>
        <scheme val="minor"/>
      </rPr>
      <t>男</t>
    </r>
    <r>
      <rPr>
        <sz val="12"/>
        <rFont val="Times New Roman"/>
        <family val="1"/>
      </rPr>
      <t xml:space="preserve">           </t>
    </r>
    <phoneticPr fontId="18" type="noConversion"/>
  </si>
  <si>
    <r>
      <t>13</t>
    </r>
    <r>
      <rPr>
        <sz val="12"/>
        <color theme="1"/>
        <rFont val="新細明體"/>
        <family val="2"/>
        <charset val="136"/>
        <scheme val="minor"/>
      </rPr>
      <t>歲以上</t>
    </r>
    <r>
      <rPr>
        <sz val="12"/>
        <rFont val="Times New Roman"/>
        <family val="1"/>
      </rPr>
      <t>14</t>
    </r>
    <r>
      <rPr>
        <sz val="12"/>
        <color theme="1"/>
        <rFont val="新細明體"/>
        <family val="2"/>
        <charset val="136"/>
        <scheme val="minor"/>
      </rPr>
      <t>歲未滿</t>
    </r>
    <r>
      <rPr>
        <sz val="12"/>
        <rFont val="Times New Roman"/>
        <family val="1"/>
      </rPr>
      <t xml:space="preserve">        </t>
    </r>
    <phoneticPr fontId="5" type="noConversion"/>
  </si>
  <si>
    <r>
      <t>16</t>
    </r>
    <r>
      <rPr>
        <sz val="12"/>
        <color theme="1"/>
        <rFont val="新細明體"/>
        <family val="2"/>
        <charset val="136"/>
        <scheme val="minor"/>
      </rPr>
      <t>歲以上</t>
    </r>
    <r>
      <rPr>
        <sz val="12"/>
        <rFont val="Times New Roman"/>
        <family val="1"/>
      </rPr>
      <t>17</t>
    </r>
    <r>
      <rPr>
        <sz val="12"/>
        <color theme="1"/>
        <rFont val="新細明體"/>
        <family val="2"/>
        <charset val="136"/>
        <scheme val="minor"/>
      </rPr>
      <t>歲未滿</t>
    </r>
    <r>
      <rPr>
        <sz val="12"/>
        <rFont val="Times New Roman"/>
        <family val="1"/>
      </rPr>
      <t xml:space="preserve">      </t>
    </r>
    <phoneticPr fontId="5" type="noConversion"/>
  </si>
  <si>
    <t>資料來源：法務部統計處。</t>
    <phoneticPr fontId="5" type="noConversion"/>
  </si>
  <si>
    <t>資料來源：警政署刑事警察局、內政部歷年全國人口統計資料。</t>
    <phoneticPr fontId="6" type="noConversion"/>
  </si>
  <si>
    <t>傳染病防治法</t>
    <phoneticPr fontId="5" type="noConversion"/>
  </si>
  <si>
    <t>嚴重特殊傳染性肺炎防治及紓困振興特別條例</t>
    <phoneticPr fontId="5" type="noConversion"/>
  </si>
  <si>
    <t>災害防救法</t>
    <phoneticPr fontId="5" type="noConversion"/>
  </si>
  <si>
    <r>
      <rPr>
        <sz val="10"/>
        <rFont val="新細明體"/>
        <family val="1"/>
        <charset val="136"/>
      </rPr>
      <t>人</t>
    </r>
    <phoneticPr fontId="6" type="noConversion"/>
  </si>
  <si>
    <t>%</t>
    <phoneticPr fontId="6" type="noConversion"/>
  </si>
  <si>
    <t>%</t>
    <phoneticPr fontId="6" type="noConversion"/>
  </si>
  <si>
    <t>%</t>
    <phoneticPr fontId="6" type="noConversion"/>
  </si>
  <si>
    <r>
      <rPr>
        <sz val="10"/>
        <rFont val="新細明體"/>
        <family val="1"/>
        <charset val="136"/>
      </rPr>
      <t>人</t>
    </r>
    <phoneticPr fontId="6" type="noConversion"/>
  </si>
  <si>
    <t>%</t>
    <phoneticPr fontId="6" type="noConversion"/>
  </si>
  <si>
    <r>
      <rPr>
        <sz val="12"/>
        <color theme="1"/>
        <rFont val="新細明體"/>
        <family val="2"/>
        <charset val="136"/>
        <scheme val="minor"/>
      </rPr>
      <t>總計</t>
    </r>
    <phoneticPr fontId="6" type="noConversion"/>
  </si>
  <si>
    <t>竊盜</t>
  </si>
  <si>
    <t>妨害秩序</t>
  </si>
  <si>
    <t>毒品危害防制條例</t>
  </si>
  <si>
    <t>妨害性自主罪</t>
  </si>
  <si>
    <t>公共危險</t>
  </si>
  <si>
    <t>妨害自由</t>
  </si>
  <si>
    <t>駕駛過失</t>
  </si>
  <si>
    <t>妨害名譽</t>
  </si>
  <si>
    <t>毀棄損壞</t>
  </si>
  <si>
    <t>賭博</t>
  </si>
  <si>
    <t>侵占</t>
  </si>
  <si>
    <t>恐嚇取財</t>
  </si>
  <si>
    <t>偽造文書印文</t>
  </si>
  <si>
    <t>妨害秘密</t>
  </si>
  <si>
    <t>妨害電腦使用</t>
  </si>
  <si>
    <t>槍砲彈藥刀械管制條例</t>
  </si>
  <si>
    <t>妨害家庭及婚姻</t>
  </si>
  <si>
    <t>重利</t>
  </si>
  <si>
    <t>故意殺人</t>
  </si>
  <si>
    <t>妨害公務</t>
  </si>
  <si>
    <t>強盜</t>
  </si>
  <si>
    <t>妨害風化</t>
  </si>
  <si>
    <t>著作權法</t>
  </si>
  <si>
    <t>搶奪</t>
  </si>
  <si>
    <t>商標法</t>
  </si>
  <si>
    <t>誣告</t>
  </si>
  <si>
    <t>贓物</t>
  </si>
  <si>
    <t>遺棄</t>
  </si>
  <si>
    <t>竊佔</t>
  </si>
  <si>
    <t>脫逃</t>
  </si>
  <si>
    <t>過失致死</t>
  </si>
  <si>
    <t>偽造有價證券</t>
  </si>
  <si>
    <t>偽證</t>
  </si>
  <si>
    <t>藏匿頂替</t>
  </si>
  <si>
    <t>侵害墳墓屍體</t>
  </si>
  <si>
    <t>偽造貨幣</t>
  </si>
  <si>
    <t>就業服務法</t>
  </si>
  <si>
    <t>森林法</t>
  </si>
  <si>
    <t>湮滅證據</t>
  </si>
  <si>
    <t>擄人勒贖</t>
  </si>
  <si>
    <t>其他</t>
  </si>
  <si>
    <t>重傷害</t>
    <phoneticPr fontId="5" type="noConversion"/>
  </si>
  <si>
    <t>一般傷害</t>
    <phoneticPr fontId="5" type="noConversion"/>
  </si>
  <si>
    <t>背信</t>
    <phoneticPr fontId="5" type="noConversion"/>
  </si>
  <si>
    <t>詐欺</t>
    <phoneticPr fontId="5" type="noConversion"/>
  </si>
  <si>
    <t>選罷法</t>
    <phoneticPr fontId="5" type="noConversion"/>
  </si>
  <si>
    <t>藥事法</t>
    <phoneticPr fontId="5" type="noConversion"/>
  </si>
  <si>
    <r>
      <t>說　　明：少年指</t>
    </r>
    <r>
      <rPr>
        <sz val="12"/>
        <rFont val="Times New Roman"/>
        <family val="1"/>
      </rPr>
      <t>12</t>
    </r>
    <r>
      <rPr>
        <sz val="12"/>
        <rFont val="細明體"/>
        <family val="3"/>
        <charset val="136"/>
      </rPr>
      <t>歲以上未滿</t>
    </r>
    <r>
      <rPr>
        <sz val="12"/>
        <rFont val="Times New Roman"/>
        <family val="1"/>
      </rPr>
      <t>18</t>
    </r>
    <r>
      <rPr>
        <sz val="12"/>
        <rFont val="細明體"/>
        <family val="3"/>
        <charset val="136"/>
      </rPr>
      <t>歲之年齡層。</t>
    </r>
    <phoneticPr fontId="5" type="noConversion"/>
  </si>
  <si>
    <t>資料來源：內政部警政署刑事警察局、內政統計查詢網。</t>
    <phoneticPr fontId="5" type="noConversion"/>
  </si>
  <si>
    <r>
      <rPr>
        <sz val="15"/>
        <color theme="1"/>
        <rFont val="新細明體"/>
        <family val="1"/>
        <charset val="136"/>
      </rPr>
      <t>表</t>
    </r>
    <r>
      <rPr>
        <sz val="15"/>
        <color theme="1"/>
        <rFont val="Times New Roman"/>
        <family val="1"/>
      </rPr>
      <t xml:space="preserve">3-2-13    </t>
    </r>
    <r>
      <rPr>
        <sz val="15"/>
        <color theme="1"/>
        <rFont val="新細明體"/>
        <family val="1"/>
        <charset val="136"/>
      </rPr>
      <t>近</t>
    </r>
    <r>
      <rPr>
        <sz val="15"/>
        <color theme="1"/>
        <rFont val="Times New Roman"/>
        <family val="1"/>
      </rPr>
      <t>10</t>
    </r>
    <r>
      <rPr>
        <sz val="15"/>
        <color theme="1"/>
        <rFont val="新細明體"/>
        <family val="1"/>
        <charset val="136"/>
      </rPr>
      <t>年少年刑事案件性別與罪名</t>
    </r>
    <phoneticPr fontId="6" type="noConversion"/>
  </si>
  <si>
    <t>保護管束</t>
    <phoneticPr fontId="6" type="noConversion"/>
  </si>
  <si>
    <r>
      <rPr>
        <sz val="12"/>
        <rFont val="新細明體"/>
        <family val="1"/>
        <charset val="136"/>
      </rPr>
      <t>移送︵轉︶管轄</t>
    </r>
    <phoneticPr fontId="6" type="noConversion"/>
  </si>
  <si>
    <r>
      <rPr>
        <sz val="12"/>
        <rFont val="新細明體"/>
        <family val="1"/>
        <charset val="136"/>
      </rPr>
      <t>移送檢察署</t>
    </r>
    <phoneticPr fontId="6" type="noConversion"/>
  </si>
  <si>
    <r>
      <rPr>
        <sz val="12"/>
        <rFont val="新細明體"/>
        <family val="1"/>
        <charset val="136"/>
      </rPr>
      <t>不付保護處分</t>
    </r>
    <phoneticPr fontId="6" type="noConversion"/>
  </si>
  <si>
    <t>終結人數</t>
    <phoneticPr fontId="6" type="noConversion"/>
  </si>
  <si>
    <r>
      <rPr>
        <sz val="15"/>
        <rFont val="新細明體"/>
        <family val="1"/>
        <charset val="136"/>
      </rPr>
      <t>表</t>
    </r>
    <r>
      <rPr>
        <sz val="15"/>
        <rFont val="Times New Roman"/>
        <family val="1"/>
      </rPr>
      <t>3-2-14</t>
    </r>
    <r>
      <rPr>
        <sz val="15"/>
        <rFont val="新細明體"/>
        <family val="1"/>
        <charset val="136"/>
      </rPr>
      <t>　</t>
    </r>
    <r>
      <rPr>
        <sz val="15"/>
        <rFont val="Times New Roman"/>
        <family val="1"/>
      </rPr>
      <t xml:space="preserve"> </t>
    </r>
    <r>
      <rPr>
        <sz val="15"/>
        <rFont val="新細明體"/>
        <family val="1"/>
        <charset val="136"/>
      </rPr>
      <t>近</t>
    </r>
    <r>
      <rPr>
        <sz val="15"/>
        <rFont val="Times New Roman"/>
        <family val="1"/>
      </rPr>
      <t>10</t>
    </r>
    <r>
      <rPr>
        <sz val="15"/>
        <rFont val="新細明體"/>
        <family val="1"/>
        <charset val="136"/>
      </rPr>
      <t>年少年刑事案件年齡</t>
    </r>
    <phoneticPr fontId="6" type="noConversion"/>
  </si>
  <si>
    <r>
      <rPr>
        <sz val="15"/>
        <rFont val="新細明體"/>
        <family val="1"/>
        <charset val="136"/>
      </rPr>
      <t>表</t>
    </r>
    <r>
      <rPr>
        <sz val="15"/>
        <rFont val="Times New Roman"/>
        <family val="1"/>
      </rPr>
      <t>3-2-16</t>
    </r>
    <r>
      <rPr>
        <sz val="15"/>
        <rFont val="新細明體"/>
        <family val="1"/>
        <charset val="136"/>
      </rPr>
      <t>　</t>
    </r>
    <r>
      <rPr>
        <sz val="15"/>
        <rFont val="Times New Roman"/>
        <family val="1"/>
      </rPr>
      <t xml:space="preserve"> </t>
    </r>
    <r>
      <rPr>
        <sz val="15"/>
        <rFont val="新細明體"/>
        <family val="1"/>
        <charset val="136"/>
      </rPr>
      <t>近</t>
    </r>
    <r>
      <rPr>
        <sz val="15"/>
        <rFont val="Times New Roman"/>
        <family val="1"/>
      </rPr>
      <t>10</t>
    </r>
    <r>
      <rPr>
        <sz val="15"/>
        <rFont val="新細明體"/>
        <family val="1"/>
        <charset val="136"/>
      </rPr>
      <t>年少年刑事案件教育程度</t>
    </r>
    <phoneticPr fontId="6" type="noConversion"/>
  </si>
  <si>
    <r>
      <rPr>
        <sz val="15"/>
        <rFont val="新細明體"/>
        <family val="1"/>
        <charset val="136"/>
      </rPr>
      <t>表</t>
    </r>
    <r>
      <rPr>
        <sz val="15"/>
        <rFont val="Times New Roman"/>
        <family val="1"/>
      </rPr>
      <t>3-2-18</t>
    </r>
    <r>
      <rPr>
        <sz val="15"/>
        <rFont val="新細明體"/>
        <family val="1"/>
        <charset val="136"/>
      </rPr>
      <t>　近</t>
    </r>
    <r>
      <rPr>
        <sz val="15"/>
        <rFont val="Times New Roman"/>
        <family val="1"/>
      </rPr>
      <t>10</t>
    </r>
    <r>
      <rPr>
        <sz val="15"/>
        <rFont val="新細明體"/>
        <family val="1"/>
        <charset val="136"/>
      </rPr>
      <t>年少年刑事案件家庭經濟狀況</t>
    </r>
    <phoneticPr fontId="6" type="noConversion"/>
  </si>
  <si>
    <r>
      <rPr>
        <sz val="15"/>
        <rFont val="新細明體"/>
        <family val="1"/>
        <charset val="136"/>
      </rPr>
      <t>表</t>
    </r>
    <r>
      <rPr>
        <sz val="15"/>
        <rFont val="Times New Roman"/>
        <family val="1"/>
      </rPr>
      <t>3-2-19</t>
    </r>
    <r>
      <rPr>
        <sz val="15"/>
        <rFont val="新細明體"/>
        <family val="1"/>
        <charset val="136"/>
      </rPr>
      <t>　</t>
    </r>
    <r>
      <rPr>
        <sz val="15"/>
        <rFont val="Times New Roman"/>
        <family val="1"/>
      </rPr>
      <t xml:space="preserve"> </t>
    </r>
    <r>
      <rPr>
        <sz val="15"/>
        <rFont val="新細明體"/>
        <family val="1"/>
        <charset val="136"/>
      </rPr>
      <t>近</t>
    </r>
    <r>
      <rPr>
        <sz val="15"/>
        <rFont val="Times New Roman"/>
        <family val="1"/>
      </rPr>
      <t>10</t>
    </r>
    <r>
      <rPr>
        <sz val="15"/>
        <rFont val="新細明體"/>
        <family val="1"/>
        <charset val="136"/>
      </rPr>
      <t>年少年刑事案件父母現況</t>
    </r>
    <phoneticPr fontId="6" type="noConversion"/>
  </si>
  <si>
    <r>
      <rPr>
        <sz val="15"/>
        <rFont val="新細明體"/>
        <family val="1"/>
        <charset val="136"/>
      </rPr>
      <t>表</t>
    </r>
    <r>
      <rPr>
        <sz val="15"/>
        <rFont val="Times New Roman"/>
        <family val="1"/>
      </rPr>
      <t xml:space="preserve">3-2-20     </t>
    </r>
    <r>
      <rPr>
        <sz val="15"/>
        <rFont val="新細明體"/>
        <family val="1"/>
        <charset val="136"/>
      </rPr>
      <t>近</t>
    </r>
    <r>
      <rPr>
        <sz val="15"/>
        <rFont val="Times New Roman"/>
        <family val="1"/>
      </rPr>
      <t>10</t>
    </r>
    <r>
      <rPr>
        <sz val="15"/>
        <rFont val="新細明體"/>
        <family val="1"/>
        <charset val="136"/>
      </rPr>
      <t>年少年刑事案件父母婚姻狀況</t>
    </r>
    <phoneticPr fontId="6" type="noConversion"/>
  </si>
  <si>
    <r>
      <rPr>
        <sz val="10"/>
        <color theme="1"/>
        <rFont val="新細明體"/>
        <family val="1"/>
        <charset val="136"/>
      </rPr>
      <t>資料來源：司法院</t>
    </r>
    <r>
      <rPr>
        <sz val="10"/>
        <color theme="1"/>
        <rFont val="Times New Roman"/>
        <family val="1"/>
      </rPr>
      <t xml:space="preserve"> (</t>
    </r>
    <r>
      <rPr>
        <sz val="10"/>
        <color theme="1"/>
        <rFont val="新細明體"/>
        <family val="1"/>
        <charset val="136"/>
      </rPr>
      <t>表</t>
    </r>
    <r>
      <rPr>
        <sz val="10"/>
        <color theme="1"/>
        <rFont val="Times New Roman"/>
        <family val="1"/>
      </rPr>
      <t>10914-03-01-05)</t>
    </r>
    <r>
      <rPr>
        <sz val="10"/>
        <color theme="1"/>
        <rFont val="新細明體"/>
        <family val="1"/>
        <charset val="136"/>
      </rPr>
      <t>。</t>
    </r>
    <phoneticPr fontId="6" type="noConversion"/>
  </si>
  <si>
    <t>總計</t>
    <phoneticPr fontId="6" type="noConversion"/>
  </si>
  <si>
    <r>
      <t>受理</t>
    </r>
    <r>
      <rPr>
        <sz val="12"/>
        <color theme="1"/>
        <rFont val="新細明體"/>
        <family val="1"/>
        <charset val="136"/>
        <scheme val="minor"/>
      </rPr>
      <t>情形</t>
    </r>
    <phoneticPr fontId="6" type="noConversion"/>
  </si>
  <si>
    <r>
      <t xml:space="preserve"> </t>
    </r>
    <r>
      <rPr>
        <sz val="12"/>
        <color theme="1"/>
        <rFont val="新細明體"/>
        <family val="2"/>
        <charset val="136"/>
        <scheme val="minor"/>
      </rPr>
      <t>總計</t>
    </r>
    <phoneticPr fontId="6" type="noConversion"/>
  </si>
  <si>
    <r>
      <t xml:space="preserve">                  </t>
    </r>
    <r>
      <rPr>
        <sz val="12"/>
        <color theme="1"/>
        <rFont val="新細明體"/>
        <family val="2"/>
        <charset val="136"/>
        <scheme val="minor"/>
      </rPr>
      <t>舊受</t>
    </r>
    <r>
      <rPr>
        <sz val="12"/>
        <color theme="1"/>
        <rFont val="新細明體"/>
        <family val="1"/>
        <charset val="136"/>
        <scheme val="minor"/>
      </rPr>
      <t>件數</t>
    </r>
    <phoneticPr fontId="6" type="noConversion"/>
  </si>
  <si>
    <r>
      <t xml:space="preserve">                  </t>
    </r>
    <r>
      <rPr>
        <sz val="12"/>
        <color theme="1"/>
        <rFont val="新細明體"/>
        <family val="2"/>
        <charset val="136"/>
        <scheme val="minor"/>
      </rPr>
      <t>新收</t>
    </r>
    <r>
      <rPr>
        <sz val="12"/>
        <color theme="1"/>
        <rFont val="新細明體"/>
        <family val="1"/>
        <charset val="136"/>
        <scheme val="minor"/>
      </rPr>
      <t>件數</t>
    </r>
    <phoneticPr fontId="6" type="noConversion"/>
  </si>
  <si>
    <r>
      <t xml:space="preserve">                  </t>
    </r>
    <r>
      <rPr>
        <sz val="12"/>
        <color theme="1"/>
        <rFont val="新細明體"/>
        <family val="2"/>
        <charset val="136"/>
        <scheme val="minor"/>
      </rPr>
      <t>終結</t>
    </r>
    <r>
      <rPr>
        <sz val="12"/>
        <color theme="1"/>
        <rFont val="新細明體"/>
        <family val="1"/>
        <charset val="136"/>
        <scheme val="minor"/>
      </rPr>
      <t>件數</t>
    </r>
    <phoneticPr fontId="6" type="noConversion"/>
  </si>
  <si>
    <r>
      <t xml:space="preserve">                  </t>
    </r>
    <r>
      <rPr>
        <sz val="12"/>
        <color theme="1"/>
        <rFont val="新細明體"/>
        <family val="2"/>
        <charset val="136"/>
        <scheme val="minor"/>
      </rPr>
      <t>未結</t>
    </r>
    <r>
      <rPr>
        <sz val="12"/>
        <color theme="1"/>
        <rFont val="新細明體"/>
        <family val="1"/>
        <charset val="136"/>
        <scheme val="minor"/>
      </rPr>
      <t>件數</t>
    </r>
    <phoneticPr fontId="6" type="noConversion"/>
  </si>
  <si>
    <r>
      <t>終結情形</t>
    </r>
    <r>
      <rPr>
        <sz val="12"/>
        <color theme="1"/>
        <rFont val="新細明體"/>
        <family val="2"/>
        <charset val="136"/>
        <scheme val="minor"/>
      </rPr>
      <t>總計</t>
    </r>
    <phoneticPr fontId="6" type="noConversion"/>
  </si>
  <si>
    <r>
      <rPr>
        <sz val="12"/>
        <color theme="1"/>
        <rFont val="新細明體"/>
        <family val="2"/>
        <charset val="136"/>
        <scheme val="minor"/>
      </rPr>
      <t>　　移送</t>
    </r>
    <r>
      <rPr>
        <sz val="12"/>
        <color theme="1"/>
        <rFont val="Times New Roman"/>
        <family val="1"/>
      </rPr>
      <t>(</t>
    </r>
    <r>
      <rPr>
        <sz val="12"/>
        <color theme="1"/>
        <rFont val="新細明體"/>
        <family val="2"/>
        <charset val="136"/>
        <scheme val="minor"/>
      </rPr>
      <t>轉</t>
    </r>
    <r>
      <rPr>
        <sz val="12"/>
        <color theme="1"/>
        <rFont val="Times New Roman"/>
        <family val="1"/>
      </rPr>
      <t>)</t>
    </r>
    <r>
      <rPr>
        <sz val="12"/>
        <color theme="1"/>
        <rFont val="新細明體"/>
        <family val="2"/>
        <charset val="136"/>
        <scheme val="minor"/>
      </rPr>
      <t>管轄</t>
    </r>
    <phoneticPr fontId="6" type="noConversion"/>
  </si>
  <si>
    <r>
      <t xml:space="preserve">                  </t>
    </r>
    <r>
      <rPr>
        <sz val="12"/>
        <color theme="1"/>
        <rFont val="新細明體"/>
        <family val="2"/>
        <charset val="136"/>
        <scheme val="minor"/>
      </rPr>
      <t>犯最輕本刑為五年以上有期徒刑之罪</t>
    </r>
    <phoneticPr fontId="6" type="noConversion"/>
  </si>
  <si>
    <r>
      <t xml:space="preserve">                  </t>
    </r>
    <r>
      <rPr>
        <sz val="12"/>
        <color theme="1"/>
        <rFont val="新細明體"/>
        <family val="2"/>
        <charset val="136"/>
        <scheme val="minor"/>
      </rPr>
      <t>事件繫屬前已滿二十歲</t>
    </r>
    <phoneticPr fontId="6" type="noConversion"/>
  </si>
  <si>
    <r>
      <t xml:space="preserve">                  </t>
    </r>
    <r>
      <rPr>
        <sz val="12"/>
        <color theme="1"/>
        <rFont val="新細明體"/>
        <family val="2"/>
        <charset val="136"/>
        <scheme val="minor"/>
      </rPr>
      <t>犯罪情節重大</t>
    </r>
    <phoneticPr fontId="6" type="noConversion"/>
  </si>
  <si>
    <r>
      <t>　　　　情節輕微</t>
    </r>
    <r>
      <rPr>
        <sz val="12"/>
        <color theme="1"/>
        <rFont val="新細明體"/>
        <family val="2"/>
        <charset val="136"/>
        <scheme val="minor"/>
      </rPr>
      <t>不付審理</t>
    </r>
    <phoneticPr fontId="6" type="noConversion"/>
  </si>
  <si>
    <r>
      <rPr>
        <sz val="12"/>
        <color theme="1"/>
        <rFont val="新細明體"/>
        <family val="2"/>
        <charset val="136"/>
        <scheme val="minor"/>
      </rPr>
      <t>小計</t>
    </r>
    <phoneticPr fontId="6" type="noConversion"/>
  </si>
  <si>
    <r>
      <t xml:space="preserve">        </t>
    </r>
    <r>
      <rPr>
        <sz val="12"/>
        <color theme="1"/>
        <rFont val="新細明體"/>
        <family val="2"/>
        <charset val="136"/>
        <scheme val="minor"/>
      </rPr>
      <t>轉介輔導</t>
    </r>
    <phoneticPr fontId="6" type="noConversion"/>
  </si>
  <si>
    <r>
      <t xml:space="preserve">        </t>
    </r>
    <r>
      <rPr>
        <sz val="12"/>
        <color theme="1"/>
        <rFont val="新細明體"/>
        <family val="2"/>
        <charset val="136"/>
        <scheme val="minor"/>
      </rPr>
      <t>交付管教</t>
    </r>
    <phoneticPr fontId="6" type="noConversion"/>
  </si>
  <si>
    <r>
      <t xml:space="preserve"> </t>
    </r>
    <r>
      <rPr>
        <sz val="12"/>
        <color theme="1"/>
        <rFont val="新細明體"/>
        <family val="2"/>
        <charset val="136"/>
        <scheme val="minor"/>
      </rPr>
      <t>治療人數</t>
    </r>
    <phoneticPr fontId="6" type="noConversion"/>
  </si>
  <si>
    <r>
      <rPr>
        <sz val="15"/>
        <color theme="1"/>
        <rFont val="新細明體"/>
        <family val="1"/>
        <charset val="136"/>
      </rPr>
      <t>表</t>
    </r>
    <r>
      <rPr>
        <sz val="15"/>
        <color theme="1"/>
        <rFont val="Times New Roman"/>
        <family val="1"/>
      </rPr>
      <t xml:space="preserve">3-1-1 </t>
    </r>
    <r>
      <rPr>
        <sz val="15"/>
        <color theme="1"/>
        <rFont val="新細明體"/>
        <family val="1"/>
        <charset val="136"/>
      </rPr>
      <t>　近</t>
    </r>
    <r>
      <rPr>
        <sz val="15"/>
        <color theme="1"/>
        <rFont val="Times New Roman"/>
        <family val="1"/>
      </rPr>
      <t>10</t>
    </r>
    <r>
      <rPr>
        <sz val="15"/>
        <color theme="1"/>
        <rFont val="新細明體"/>
        <family val="1"/>
        <charset val="136"/>
      </rPr>
      <t>年少年犯罪嫌疑人數與犯罪人口率</t>
    </r>
    <phoneticPr fontId="6" type="noConversion"/>
  </si>
  <si>
    <r>
      <rPr>
        <sz val="15"/>
        <color theme="1"/>
        <rFont val="新細明體"/>
        <family val="1"/>
        <charset val="136"/>
      </rPr>
      <t>表</t>
    </r>
    <r>
      <rPr>
        <sz val="15"/>
        <color theme="1"/>
        <rFont val="Times New Roman"/>
        <family val="1"/>
      </rPr>
      <t>3-1-2</t>
    </r>
    <r>
      <rPr>
        <sz val="15"/>
        <color theme="1"/>
        <rFont val="新細明體"/>
        <family val="1"/>
        <charset val="136"/>
      </rPr>
      <t>　近</t>
    </r>
    <r>
      <rPr>
        <sz val="15"/>
        <color theme="1"/>
        <rFont val="Times New Roman"/>
        <family val="1"/>
      </rPr>
      <t>10</t>
    </r>
    <r>
      <rPr>
        <sz val="15"/>
        <color theme="1"/>
        <rFont val="新細明體"/>
        <family val="1"/>
        <charset val="136"/>
      </rPr>
      <t>年少年嫌疑人之主要犯罪類別</t>
    </r>
    <phoneticPr fontId="6" type="noConversion"/>
  </si>
  <si>
    <r>
      <rPr>
        <sz val="15"/>
        <color theme="1"/>
        <rFont val="新細明體"/>
        <family val="1"/>
        <charset val="136"/>
      </rPr>
      <t>表</t>
    </r>
    <r>
      <rPr>
        <sz val="15"/>
        <color theme="1"/>
        <rFont val="Times New Roman"/>
        <family val="1"/>
      </rPr>
      <t>3-2-4</t>
    </r>
    <r>
      <rPr>
        <sz val="15"/>
        <color theme="1"/>
        <rFont val="新細明體"/>
        <family val="1"/>
        <charset val="136"/>
      </rPr>
      <t>　近</t>
    </r>
    <r>
      <rPr>
        <sz val="15"/>
        <color theme="1"/>
        <rFont val="Times New Roman"/>
        <family val="1"/>
      </rPr>
      <t>10</t>
    </r>
    <r>
      <rPr>
        <sz val="15"/>
        <color theme="1"/>
        <rFont val="新細明體"/>
        <family val="1"/>
        <charset val="136"/>
      </rPr>
      <t>年地方法院（庭）審理終結之少年觸法、虞犯</t>
    </r>
    <r>
      <rPr>
        <sz val="15"/>
        <color theme="1"/>
        <rFont val="Times New Roman"/>
        <family val="1"/>
      </rPr>
      <t>/</t>
    </r>
    <r>
      <rPr>
        <sz val="15"/>
        <color theme="1"/>
        <rFont val="新細明體"/>
        <family val="1"/>
        <charset val="136"/>
      </rPr>
      <t>曝險人數</t>
    </r>
    <phoneticPr fontId="6" type="noConversion"/>
  </si>
  <si>
    <t>觸　犯　刑　罰　法   令</t>
    <phoneticPr fontId="6" type="noConversion"/>
  </si>
  <si>
    <t>虞犯/曝險</t>
    <phoneticPr fontId="6" type="noConversion"/>
  </si>
  <si>
    <t>總　計</t>
    <phoneticPr fontId="6" type="noConversion"/>
  </si>
  <si>
    <t>刑     事     案     件</t>
    <phoneticPr fontId="6" type="noConversion"/>
  </si>
  <si>
    <t>保　護    事　件</t>
    <phoneticPr fontId="6" type="noConversion"/>
  </si>
  <si>
    <t>人數</t>
    <phoneticPr fontId="6" type="noConversion"/>
  </si>
  <si>
    <t xml:space="preserve">指數 </t>
    <phoneticPr fontId="6" type="noConversion"/>
  </si>
  <si>
    <t xml:space="preserve"> 百分比</t>
    <phoneticPr fontId="6" type="noConversion"/>
  </si>
  <si>
    <t>指數</t>
    <phoneticPr fontId="6" type="noConversion"/>
  </si>
  <si>
    <t>百分比</t>
    <phoneticPr fontId="6" type="noConversion"/>
  </si>
  <si>
    <t>女</t>
    <phoneticPr fontId="6" type="noConversion"/>
  </si>
  <si>
    <t>男</t>
    <phoneticPr fontId="6" type="noConversion"/>
  </si>
  <si>
    <r>
      <t>101</t>
    </r>
    <r>
      <rPr>
        <sz val="12"/>
        <color theme="1"/>
        <rFont val="新細明體"/>
        <family val="2"/>
        <charset val="136"/>
        <scheme val="minor"/>
      </rPr>
      <t>年</t>
    </r>
    <r>
      <rPr>
        <sz val="12"/>
        <rFont val="細明體"/>
        <family val="3"/>
        <charset val="136"/>
      </rPr>
      <t/>
    </r>
  </si>
  <si>
    <r>
      <t>102</t>
    </r>
    <r>
      <rPr>
        <sz val="12"/>
        <color theme="1"/>
        <rFont val="新細明體"/>
        <family val="2"/>
        <charset val="136"/>
        <scheme val="minor"/>
      </rPr>
      <t>年</t>
    </r>
    <r>
      <rPr>
        <sz val="12"/>
        <rFont val="細明體"/>
        <family val="3"/>
        <charset val="136"/>
      </rPr>
      <t/>
    </r>
  </si>
  <si>
    <r>
      <t>103</t>
    </r>
    <r>
      <rPr>
        <sz val="12"/>
        <color theme="1"/>
        <rFont val="新細明體"/>
        <family val="2"/>
        <charset val="136"/>
        <scheme val="minor"/>
      </rPr>
      <t>年</t>
    </r>
    <r>
      <rPr>
        <sz val="12"/>
        <rFont val="細明體"/>
        <family val="3"/>
        <charset val="136"/>
      </rPr>
      <t/>
    </r>
  </si>
  <si>
    <r>
      <t>104</t>
    </r>
    <r>
      <rPr>
        <sz val="12"/>
        <color theme="1"/>
        <rFont val="新細明體"/>
        <family val="2"/>
        <charset val="136"/>
        <scheme val="minor"/>
      </rPr>
      <t>年</t>
    </r>
    <r>
      <rPr>
        <sz val="12"/>
        <rFont val="細明體"/>
        <family val="3"/>
        <charset val="136"/>
      </rPr>
      <t/>
    </r>
  </si>
  <si>
    <r>
      <t>105</t>
    </r>
    <r>
      <rPr>
        <sz val="12"/>
        <color theme="1"/>
        <rFont val="新細明體"/>
        <family val="2"/>
        <charset val="136"/>
        <scheme val="minor"/>
      </rPr>
      <t>年</t>
    </r>
    <r>
      <rPr>
        <sz val="12"/>
        <rFont val="細明體"/>
        <family val="3"/>
        <charset val="136"/>
      </rPr>
      <t/>
    </r>
  </si>
  <si>
    <r>
      <t>106</t>
    </r>
    <r>
      <rPr>
        <sz val="12"/>
        <color theme="1"/>
        <rFont val="新細明體"/>
        <family val="2"/>
        <charset val="136"/>
        <scheme val="minor"/>
      </rPr>
      <t>年</t>
    </r>
    <r>
      <rPr>
        <sz val="12"/>
        <rFont val="細明體"/>
        <family val="3"/>
        <charset val="136"/>
      </rPr>
      <t/>
    </r>
  </si>
  <si>
    <r>
      <t>107</t>
    </r>
    <r>
      <rPr>
        <sz val="12"/>
        <color theme="1"/>
        <rFont val="新細明體"/>
        <family val="2"/>
        <charset val="136"/>
        <scheme val="minor"/>
      </rPr>
      <t>年</t>
    </r>
    <r>
      <rPr>
        <sz val="12"/>
        <rFont val="細明體"/>
        <family val="3"/>
        <charset val="136"/>
      </rPr>
      <t/>
    </r>
  </si>
  <si>
    <r>
      <t>108</t>
    </r>
    <r>
      <rPr>
        <sz val="12"/>
        <color theme="1"/>
        <rFont val="新細明體"/>
        <family val="2"/>
        <charset val="136"/>
        <scheme val="minor"/>
      </rPr>
      <t>年</t>
    </r>
    <r>
      <rPr>
        <sz val="12"/>
        <rFont val="細明體"/>
        <family val="3"/>
        <charset val="136"/>
      </rPr>
      <t/>
    </r>
  </si>
  <si>
    <r>
      <t>109</t>
    </r>
    <r>
      <rPr>
        <sz val="12"/>
        <color theme="1"/>
        <rFont val="新細明體"/>
        <family val="2"/>
        <charset val="136"/>
        <scheme val="minor"/>
      </rPr>
      <t>年</t>
    </r>
    <r>
      <rPr>
        <sz val="12"/>
        <rFont val="細明體"/>
        <family val="3"/>
        <charset val="136"/>
      </rPr>
      <t/>
    </r>
    <phoneticPr fontId="21" type="noConversion"/>
  </si>
  <si>
    <r>
      <rPr>
        <sz val="10"/>
        <color theme="1"/>
        <rFont val="新細明體"/>
        <family val="1"/>
        <charset val="136"/>
      </rPr>
      <t>資料來源：司法院（表</t>
    </r>
    <r>
      <rPr>
        <sz val="10"/>
        <color theme="1"/>
        <rFont val="Times New Roman"/>
        <family val="1"/>
      </rPr>
      <t>10914-02-05-05</t>
    </r>
    <r>
      <rPr>
        <sz val="10"/>
        <color theme="1"/>
        <rFont val="新細明體"/>
        <family val="1"/>
        <charset val="136"/>
      </rPr>
      <t>、</t>
    </r>
    <r>
      <rPr>
        <sz val="10"/>
        <color theme="1"/>
        <rFont val="Times New Roman"/>
        <family val="1"/>
      </rPr>
      <t>10914-03-04-05</t>
    </r>
    <r>
      <rPr>
        <sz val="10"/>
        <color theme="1"/>
        <rFont val="新細明體"/>
        <family val="1"/>
        <charset val="136"/>
      </rPr>
      <t>）。</t>
    </r>
    <phoneticPr fontId="6" type="noConversion"/>
  </si>
  <si>
    <r>
      <rPr>
        <sz val="15"/>
        <color theme="1"/>
        <rFont val="新細明體"/>
        <family val="1"/>
        <charset val="136"/>
      </rPr>
      <t>表</t>
    </r>
    <r>
      <rPr>
        <sz val="15"/>
        <color theme="1"/>
        <rFont val="Times New Roman"/>
        <family val="1"/>
      </rPr>
      <t>3-2-17</t>
    </r>
    <r>
      <rPr>
        <sz val="15"/>
        <color theme="1"/>
        <rFont val="新細明體"/>
        <family val="1"/>
        <charset val="136"/>
      </rPr>
      <t>　近</t>
    </r>
    <r>
      <rPr>
        <sz val="15"/>
        <color theme="1"/>
        <rFont val="Times New Roman"/>
        <family val="1"/>
      </rPr>
      <t>10</t>
    </r>
    <r>
      <rPr>
        <sz val="15"/>
        <color theme="1"/>
        <rFont val="新細明體"/>
        <family val="1"/>
        <charset val="136"/>
      </rPr>
      <t>年少年刑事案件之性別與就業情形</t>
    </r>
    <phoneticPr fontId="6" type="noConversion"/>
  </si>
  <si>
    <r>
      <rPr>
        <sz val="15"/>
        <color theme="1"/>
        <rFont val="新細明體"/>
        <family val="1"/>
        <charset val="136"/>
      </rPr>
      <t>表</t>
    </r>
    <r>
      <rPr>
        <sz val="15"/>
        <color theme="1"/>
        <rFont val="Times New Roman"/>
        <family val="1"/>
      </rPr>
      <t xml:space="preserve"> 3-3-3</t>
    </r>
    <r>
      <rPr>
        <sz val="15"/>
        <color theme="1"/>
        <rFont val="新細明體"/>
        <family val="1"/>
        <charset val="136"/>
      </rPr>
      <t>　近</t>
    </r>
    <r>
      <rPr>
        <sz val="15"/>
        <color theme="1"/>
        <rFont val="Times New Roman"/>
        <family val="1"/>
      </rPr>
      <t>5</t>
    </r>
    <r>
      <rPr>
        <sz val="15"/>
        <color theme="1"/>
        <rFont val="新細明體"/>
        <family val="1"/>
        <charset val="136"/>
      </rPr>
      <t>年少年觀護所新入所收容</t>
    </r>
    <r>
      <rPr>
        <sz val="15"/>
        <color theme="1"/>
        <rFont val="Times New Roman"/>
        <family val="1"/>
      </rPr>
      <t>/</t>
    </r>
    <r>
      <rPr>
        <sz val="15"/>
        <color theme="1"/>
        <rFont val="新細明體"/>
        <family val="1"/>
        <charset val="136"/>
      </rPr>
      <t>羈押少年之性別與教育程度</t>
    </r>
    <phoneticPr fontId="18" type="noConversion"/>
  </si>
  <si>
    <r>
      <t xml:space="preserve"> </t>
    </r>
    <r>
      <rPr>
        <sz val="15"/>
        <color theme="1"/>
        <rFont val="新細明體"/>
        <family val="1"/>
        <charset val="136"/>
      </rPr>
      <t>表</t>
    </r>
    <r>
      <rPr>
        <sz val="15"/>
        <color theme="1"/>
        <rFont val="Times New Roman"/>
        <family val="1"/>
      </rPr>
      <t xml:space="preserve"> 3-3-5</t>
    </r>
    <r>
      <rPr>
        <sz val="15"/>
        <color theme="1"/>
        <rFont val="新細明體"/>
        <family val="1"/>
        <charset val="136"/>
      </rPr>
      <t>　近</t>
    </r>
    <r>
      <rPr>
        <sz val="15"/>
        <color theme="1"/>
        <rFont val="Times New Roman"/>
        <family val="1"/>
      </rPr>
      <t>5</t>
    </r>
    <r>
      <rPr>
        <sz val="15"/>
        <color theme="1"/>
        <rFont val="新細明體"/>
        <family val="1"/>
        <charset val="136"/>
      </rPr>
      <t>年少年觀護所新入所收容</t>
    </r>
    <r>
      <rPr>
        <sz val="15"/>
        <color theme="1"/>
        <rFont val="Times New Roman"/>
        <family val="1"/>
      </rPr>
      <t>/</t>
    </r>
    <r>
      <rPr>
        <sz val="15"/>
        <color theme="1"/>
        <rFont val="新細明體"/>
        <family val="1"/>
        <charset val="136"/>
      </rPr>
      <t>羈押少年之性別與罪名</t>
    </r>
    <phoneticPr fontId="18" type="noConversion"/>
  </si>
  <si>
    <r>
      <t>101</t>
    </r>
    <r>
      <rPr>
        <sz val="12"/>
        <color theme="1"/>
        <rFont val="新細明體"/>
        <family val="1"/>
        <charset val="136"/>
      </rPr>
      <t>年</t>
    </r>
    <r>
      <rPr>
        <sz val="12"/>
        <rFont val="細明體"/>
        <family val="3"/>
        <charset val="136"/>
      </rPr>
      <t/>
    </r>
    <phoneticPr fontId="5" type="noConversion"/>
  </si>
  <si>
    <r>
      <t>102年</t>
    </r>
    <r>
      <rPr>
        <sz val="12"/>
        <rFont val="細明體"/>
        <family val="3"/>
        <charset val="136"/>
      </rPr>
      <t/>
    </r>
  </si>
  <si>
    <r>
      <t>103年</t>
    </r>
    <r>
      <rPr>
        <sz val="12"/>
        <rFont val="細明體"/>
        <family val="3"/>
        <charset val="136"/>
      </rPr>
      <t/>
    </r>
  </si>
  <si>
    <r>
      <t>104年</t>
    </r>
    <r>
      <rPr>
        <sz val="12"/>
        <rFont val="細明體"/>
        <family val="3"/>
        <charset val="136"/>
      </rPr>
      <t/>
    </r>
  </si>
  <si>
    <r>
      <t>105年</t>
    </r>
    <r>
      <rPr>
        <sz val="12"/>
        <rFont val="細明體"/>
        <family val="3"/>
        <charset val="136"/>
      </rPr>
      <t/>
    </r>
  </si>
  <si>
    <r>
      <t>106年</t>
    </r>
    <r>
      <rPr>
        <sz val="12"/>
        <rFont val="細明體"/>
        <family val="3"/>
        <charset val="136"/>
      </rPr>
      <t/>
    </r>
  </si>
  <si>
    <r>
      <t>107年</t>
    </r>
    <r>
      <rPr>
        <sz val="12"/>
        <rFont val="細明體"/>
        <family val="3"/>
        <charset val="136"/>
      </rPr>
      <t/>
    </r>
  </si>
  <si>
    <r>
      <t>108年</t>
    </r>
    <r>
      <rPr>
        <sz val="12"/>
        <rFont val="細明體"/>
        <family val="3"/>
        <charset val="136"/>
      </rPr>
      <t/>
    </r>
  </si>
  <si>
    <r>
      <t>109年</t>
    </r>
    <r>
      <rPr>
        <sz val="12"/>
        <rFont val="細明體"/>
        <family val="3"/>
        <charset val="136"/>
      </rPr>
      <t/>
    </r>
  </si>
  <si>
    <r>
      <t>110年</t>
    </r>
    <r>
      <rPr>
        <sz val="12"/>
        <rFont val="細明體"/>
        <family val="3"/>
        <charset val="136"/>
      </rPr>
      <t/>
    </r>
  </si>
  <si>
    <r>
      <t>101</t>
    </r>
    <r>
      <rPr>
        <sz val="12"/>
        <color theme="1"/>
        <rFont val="新細明體"/>
        <family val="2"/>
        <charset val="136"/>
        <scheme val="minor"/>
      </rPr>
      <t>年</t>
    </r>
    <phoneticPr fontId="18" type="noConversion"/>
  </si>
  <si>
    <r>
      <t>110年</t>
    </r>
    <r>
      <rPr>
        <sz val="12"/>
        <color theme="1"/>
        <rFont val="新細明體"/>
        <family val="2"/>
        <charset val="136"/>
        <scheme val="minor"/>
      </rPr>
      <t/>
    </r>
  </si>
  <si>
    <t>就業服務法</t>
    <phoneticPr fontId="5" type="noConversion"/>
  </si>
  <si>
    <r>
      <t xml:space="preserve">        </t>
    </r>
    <r>
      <rPr>
        <sz val="12"/>
        <color theme="1"/>
        <rFont val="新細明體"/>
        <family val="2"/>
        <charset val="136"/>
        <scheme val="minor"/>
      </rPr>
      <t>告誡</t>
    </r>
    <phoneticPr fontId="6" type="noConversion"/>
  </si>
  <si>
    <t xml:space="preserve">        其他</t>
    <phoneticPr fontId="5" type="noConversion"/>
  </si>
  <si>
    <t>-</t>
    <phoneticPr fontId="5" type="noConversion"/>
  </si>
  <si>
    <t>-</t>
    <phoneticPr fontId="5" type="noConversion"/>
  </si>
  <si>
    <r>
      <rPr>
        <sz val="15"/>
        <rFont val="新細明體"/>
        <family val="1"/>
        <charset val="136"/>
      </rPr>
      <t>表</t>
    </r>
    <r>
      <rPr>
        <sz val="15"/>
        <rFont val="Times New Roman"/>
        <family val="1"/>
      </rPr>
      <t>3-2-3      110</t>
    </r>
    <r>
      <rPr>
        <sz val="15"/>
        <rFont val="新細明體"/>
        <family val="1"/>
        <charset val="136"/>
      </rPr>
      <t>年少年刑事案件裁判結果</t>
    </r>
    <phoneticPr fontId="6" type="noConversion"/>
  </si>
  <si>
    <r>
      <t>101</t>
    </r>
    <r>
      <rPr>
        <sz val="12"/>
        <color theme="1"/>
        <rFont val="新細明體"/>
        <family val="2"/>
        <charset val="136"/>
        <scheme val="minor"/>
      </rPr>
      <t>年</t>
    </r>
    <phoneticPr fontId="6" type="noConversion"/>
  </si>
  <si>
    <r>
      <rPr>
        <sz val="15"/>
        <color theme="1"/>
        <rFont val="新細明體"/>
        <family val="1"/>
        <charset val="136"/>
      </rPr>
      <t>表</t>
    </r>
    <r>
      <rPr>
        <sz val="15"/>
        <color theme="1"/>
        <rFont val="Times New Roman"/>
        <family val="1"/>
      </rPr>
      <t>3-2-1    110</t>
    </r>
    <r>
      <rPr>
        <sz val="15"/>
        <color theme="1"/>
        <rFont val="新細明體"/>
        <family val="1"/>
        <charset val="136"/>
      </rPr>
      <t>年少年事件調查收結情形</t>
    </r>
    <phoneticPr fontId="6" type="noConversion"/>
  </si>
  <si>
    <r>
      <t>101</t>
    </r>
    <r>
      <rPr>
        <sz val="12"/>
        <color theme="1"/>
        <rFont val="新細明體"/>
        <family val="2"/>
        <charset val="136"/>
        <scheme val="minor"/>
      </rPr>
      <t>年</t>
    </r>
    <phoneticPr fontId="5" type="noConversion"/>
  </si>
  <si>
    <r>
      <rPr>
        <sz val="10"/>
        <rFont val="新細明體"/>
        <family val="1"/>
        <charset val="136"/>
      </rPr>
      <t>說　　明：</t>
    </r>
    <r>
      <rPr>
        <sz val="10"/>
        <rFont val="Times New Roman"/>
        <family val="1"/>
      </rPr>
      <t>1.</t>
    </r>
    <r>
      <rPr>
        <sz val="10"/>
        <rFont val="新細明體"/>
        <family val="1"/>
        <charset val="136"/>
      </rPr>
      <t>本表不包含未經個案調查人數及虞犯</t>
    </r>
    <r>
      <rPr>
        <sz val="10"/>
        <rFont val="Times New Roman"/>
        <family val="1"/>
      </rPr>
      <t>/</t>
    </r>
    <r>
      <rPr>
        <sz val="10"/>
        <rFont val="新細明體"/>
        <family val="1"/>
        <charset val="136"/>
      </rPr>
      <t>曝險少年。
　　　　　</t>
    </r>
    <r>
      <rPr>
        <sz val="10"/>
        <rFont val="Times New Roman"/>
        <family val="1"/>
      </rPr>
      <t>2.</t>
    </r>
    <r>
      <rPr>
        <sz val="10"/>
        <rFont val="新細明體"/>
        <family val="1"/>
        <charset val="136"/>
      </rPr>
      <t>本表資料係以觸法少年經法院裁定交付保護處分階段為基準，爰調整本表名稱為「觸法少年交付保護處分」，以期精確。</t>
    </r>
    <phoneticPr fontId="6" type="noConversion"/>
  </si>
  <si>
    <t>褻瀆祀典及侵害墳墓屍體罪</t>
  </si>
  <si>
    <t>人口販運防治法</t>
    <phoneticPr fontId="5" type="noConversion"/>
  </si>
  <si>
    <t>妨害風化罪</t>
    <phoneticPr fontId="6" type="noConversion"/>
  </si>
  <si>
    <t>脫逃罪</t>
    <phoneticPr fontId="6" type="noConversion"/>
  </si>
  <si>
    <t>藏匿人犯及湮滅證據罪</t>
    <phoneticPr fontId="6" type="noConversion"/>
  </si>
  <si>
    <r>
      <t>101</t>
    </r>
    <r>
      <rPr>
        <sz val="12"/>
        <color theme="1"/>
        <rFont val="新細明體"/>
        <family val="2"/>
        <charset val="136"/>
        <scheme val="minor"/>
      </rPr>
      <t>年</t>
    </r>
    <phoneticPr fontId="6" type="noConversion"/>
  </si>
  <si>
    <r>
      <t>106</t>
    </r>
    <r>
      <rPr>
        <sz val="12"/>
        <color theme="1"/>
        <rFont val="新細明體"/>
        <family val="2"/>
        <charset val="136"/>
        <scheme val="minor"/>
      </rPr>
      <t>年</t>
    </r>
    <phoneticPr fontId="6" type="noConversion"/>
  </si>
  <si>
    <t>-</t>
    <phoneticPr fontId="5" type="noConversion"/>
  </si>
  <si>
    <t>傷害罪</t>
  </si>
  <si>
    <t>詐欺罪</t>
  </si>
  <si>
    <t>竊盜罪</t>
  </si>
  <si>
    <t>公共危險罪</t>
  </si>
  <si>
    <t>妨害自由罪</t>
  </si>
  <si>
    <t>偽造文書印文罪</t>
  </si>
  <si>
    <t>殺人罪</t>
  </si>
  <si>
    <t>藥事法</t>
  </si>
  <si>
    <t>強盜罪</t>
  </si>
  <si>
    <t>偽證罪</t>
  </si>
  <si>
    <r>
      <rPr>
        <sz val="12"/>
        <color theme="1"/>
        <rFont val="新細明體"/>
        <family val="1"/>
        <charset val="136"/>
      </rPr>
      <t>總計</t>
    </r>
    <phoneticPr fontId="6" type="noConversion"/>
  </si>
  <si>
    <r>
      <t>12</t>
    </r>
    <r>
      <rPr>
        <sz val="12"/>
        <color theme="1"/>
        <rFont val="新細明體"/>
        <family val="1"/>
        <charset val="136"/>
      </rPr>
      <t>歲以上</t>
    </r>
    <r>
      <rPr>
        <sz val="12"/>
        <rFont val="Times New Roman"/>
        <family val="1"/>
      </rPr>
      <t>13</t>
    </r>
    <r>
      <rPr>
        <sz val="12"/>
        <color theme="1"/>
        <rFont val="新細明體"/>
        <family val="1"/>
        <charset val="136"/>
      </rPr>
      <t>歲未滿</t>
    </r>
    <phoneticPr fontId="18" type="noConversion"/>
  </si>
  <si>
    <r>
      <t>13</t>
    </r>
    <r>
      <rPr>
        <sz val="12"/>
        <color theme="1"/>
        <rFont val="新細明體"/>
        <family val="1"/>
        <charset val="136"/>
      </rPr>
      <t>歲以上</t>
    </r>
    <r>
      <rPr>
        <sz val="12"/>
        <rFont val="Times New Roman"/>
        <family val="1"/>
      </rPr>
      <t>14</t>
    </r>
    <r>
      <rPr>
        <sz val="12"/>
        <color theme="1"/>
        <rFont val="新細明體"/>
        <family val="1"/>
        <charset val="136"/>
      </rPr>
      <t>歲未滿</t>
    </r>
    <phoneticPr fontId="6" type="noConversion"/>
  </si>
  <si>
    <r>
      <t>14</t>
    </r>
    <r>
      <rPr>
        <sz val="12"/>
        <color theme="1"/>
        <rFont val="新細明體"/>
        <family val="1"/>
        <charset val="136"/>
      </rPr>
      <t>歲以上</t>
    </r>
    <r>
      <rPr>
        <sz val="12"/>
        <rFont val="Times New Roman"/>
        <family val="1"/>
      </rPr>
      <t>15</t>
    </r>
    <r>
      <rPr>
        <sz val="12"/>
        <color theme="1"/>
        <rFont val="新細明體"/>
        <family val="1"/>
        <charset val="136"/>
      </rPr>
      <t>歲未滿</t>
    </r>
    <phoneticPr fontId="6" type="noConversion"/>
  </si>
  <si>
    <r>
      <t>15</t>
    </r>
    <r>
      <rPr>
        <sz val="12"/>
        <color theme="1"/>
        <rFont val="新細明體"/>
        <family val="1"/>
        <charset val="136"/>
      </rPr>
      <t>歲以上</t>
    </r>
    <r>
      <rPr>
        <sz val="12"/>
        <rFont val="Times New Roman"/>
        <family val="1"/>
      </rPr>
      <t>16</t>
    </r>
    <r>
      <rPr>
        <sz val="12"/>
        <color theme="1"/>
        <rFont val="新細明體"/>
        <family val="1"/>
        <charset val="136"/>
      </rPr>
      <t>歲未滿</t>
    </r>
    <phoneticPr fontId="6" type="noConversion"/>
  </si>
  <si>
    <r>
      <t>16</t>
    </r>
    <r>
      <rPr>
        <sz val="12"/>
        <color theme="1"/>
        <rFont val="新細明體"/>
        <family val="1"/>
        <charset val="136"/>
      </rPr>
      <t>歲以上</t>
    </r>
    <r>
      <rPr>
        <sz val="12"/>
        <rFont val="Times New Roman"/>
        <family val="1"/>
      </rPr>
      <t>17</t>
    </r>
    <r>
      <rPr>
        <sz val="12"/>
        <color theme="1"/>
        <rFont val="新細明體"/>
        <family val="1"/>
        <charset val="136"/>
      </rPr>
      <t>歲未滿</t>
    </r>
    <phoneticPr fontId="6" type="noConversion"/>
  </si>
  <si>
    <r>
      <t>17</t>
    </r>
    <r>
      <rPr>
        <sz val="12"/>
        <color theme="1"/>
        <rFont val="新細明體"/>
        <family val="1"/>
        <charset val="136"/>
      </rPr>
      <t>歲以上</t>
    </r>
    <r>
      <rPr>
        <sz val="12"/>
        <rFont val="Times New Roman"/>
        <family val="1"/>
      </rPr>
      <t>18</t>
    </r>
    <r>
      <rPr>
        <sz val="12"/>
        <color theme="1"/>
        <rFont val="新細明體"/>
        <family val="1"/>
        <charset val="136"/>
      </rPr>
      <t>歲未滿</t>
    </r>
    <phoneticPr fontId="6" type="noConversion"/>
  </si>
  <si>
    <r>
      <rPr>
        <sz val="12"/>
        <color theme="1"/>
        <rFont val="新細明體"/>
        <family val="1"/>
        <charset val="136"/>
      </rPr>
      <t>人</t>
    </r>
    <phoneticPr fontId="6" type="noConversion"/>
  </si>
  <si>
    <r>
      <rPr>
        <sz val="12"/>
        <color theme="1"/>
        <rFont val="新細明體"/>
        <family val="1"/>
        <charset val="136"/>
      </rPr>
      <t>人</t>
    </r>
    <phoneticPr fontId="6" type="noConversion"/>
  </si>
  <si>
    <r>
      <rPr>
        <sz val="12"/>
        <color theme="1"/>
        <rFont val="新細明體"/>
        <family val="1"/>
        <charset val="136"/>
      </rPr>
      <t>人</t>
    </r>
    <phoneticPr fontId="6" type="noConversion"/>
  </si>
  <si>
    <r>
      <rPr>
        <sz val="12"/>
        <color theme="1"/>
        <rFont val="新細明體"/>
        <family val="1"/>
        <charset val="136"/>
      </rPr>
      <t>人</t>
    </r>
    <phoneticPr fontId="6" type="noConversion"/>
  </si>
  <si>
    <r>
      <rPr>
        <sz val="12"/>
        <color theme="1"/>
        <rFont val="新細明體"/>
        <family val="1"/>
        <charset val="136"/>
      </rPr>
      <t>人</t>
    </r>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</si>
  <si>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10914-03-04-05)</t>
    </r>
    <r>
      <rPr>
        <sz val="10"/>
        <rFont val="新細明體"/>
        <family val="1"/>
        <charset val="136"/>
      </rPr>
      <t>。</t>
    </r>
    <phoneticPr fontId="18" type="noConversion"/>
  </si>
  <si>
    <r>
      <rPr>
        <sz val="10"/>
        <rFont val="新細明體"/>
        <family val="1"/>
        <charset val="136"/>
      </rPr>
      <t>說　　明：</t>
    </r>
    <r>
      <rPr>
        <sz val="10"/>
        <rFont val="Times New Roman"/>
        <family val="1"/>
      </rPr>
      <t>1.</t>
    </r>
    <r>
      <rPr>
        <sz val="10"/>
        <rFont val="新細明體"/>
        <family val="1"/>
        <charset val="136"/>
      </rPr>
      <t>本表不包含未經個案調查人數及虞犯</t>
    </r>
    <r>
      <rPr>
        <sz val="10"/>
        <rFont val="Times New Roman"/>
        <family val="1"/>
      </rPr>
      <t>/</t>
    </r>
    <r>
      <rPr>
        <sz val="10"/>
        <rFont val="新細明體"/>
        <family val="1"/>
        <charset val="136"/>
      </rPr>
      <t>曝險少年。
　　　　　</t>
    </r>
    <r>
      <rPr>
        <sz val="10"/>
        <rFont val="Times New Roman"/>
        <family val="1"/>
      </rPr>
      <t>2.</t>
    </r>
    <r>
      <rPr>
        <sz val="10"/>
        <rFont val="新細明體"/>
        <family val="1"/>
        <charset val="136"/>
      </rPr>
      <t>本表資料係以觸法少年經法院裁定交付保護處分階段為基準，爰調整本表名稱為「觸法少年交付保護處分」，以期精確。</t>
    </r>
    <phoneticPr fontId="6" type="noConversion"/>
  </si>
  <si>
    <r>
      <rPr>
        <sz val="10"/>
        <rFont val="新細明體"/>
        <family val="1"/>
        <charset val="136"/>
      </rPr>
      <t>說　　明：</t>
    </r>
    <r>
      <rPr>
        <sz val="10"/>
        <rFont val="Times New Roman"/>
        <family val="1"/>
      </rPr>
      <t xml:space="preserve">1. </t>
    </r>
    <r>
      <rPr>
        <sz val="10"/>
        <rFont val="新細明體"/>
        <family val="1"/>
        <charset val="136"/>
      </rPr>
      <t>本表不包含未經個案調查人數及虞犯</t>
    </r>
    <r>
      <rPr>
        <sz val="10"/>
        <rFont val="Times New Roman"/>
        <family val="1"/>
      </rPr>
      <t>/</t>
    </r>
    <r>
      <rPr>
        <sz val="10"/>
        <rFont val="新細明體"/>
        <family val="1"/>
        <charset val="136"/>
      </rPr>
      <t>曝險少年。
　　　　　</t>
    </r>
    <r>
      <rPr>
        <sz val="10"/>
        <rFont val="Times New Roman"/>
        <family val="1"/>
      </rPr>
      <t xml:space="preserve">2. </t>
    </r>
    <r>
      <rPr>
        <sz val="10"/>
        <rFont val="新細明體"/>
        <family val="1"/>
        <charset val="136"/>
      </rPr>
      <t>被歸類為</t>
    </r>
    <r>
      <rPr>
        <sz val="10"/>
        <rFont val="Times New Roman"/>
        <family val="1"/>
      </rPr>
      <t>12</t>
    </r>
    <r>
      <rPr>
        <sz val="10"/>
        <rFont val="新細明體"/>
        <family val="1"/>
        <charset val="136"/>
      </rPr>
      <t>歲未滿的少年，係於移送時為</t>
    </r>
    <r>
      <rPr>
        <sz val="10"/>
        <rFont val="Times New Roman"/>
        <family val="1"/>
      </rPr>
      <t>12</t>
    </r>
    <r>
      <rPr>
        <sz val="10"/>
        <rFont val="新細明體"/>
        <family val="1"/>
        <charset val="136"/>
      </rPr>
      <t>歲以上，但在調查或審理階段時，始得知該少年觸法時未滿</t>
    </r>
    <r>
      <rPr>
        <sz val="10"/>
        <rFont val="Times New Roman"/>
        <family val="1"/>
      </rPr>
      <t>12</t>
    </r>
    <r>
      <rPr>
        <sz val="10"/>
        <rFont val="新細明體"/>
        <family val="1"/>
        <charset val="136"/>
      </rPr>
      <t>歲而言。
　　　　　</t>
    </r>
    <r>
      <rPr>
        <sz val="10"/>
        <rFont val="Times New Roman"/>
        <family val="1"/>
      </rPr>
      <t>3.</t>
    </r>
    <r>
      <rPr>
        <sz val="10"/>
        <rFont val="新細明體"/>
        <family val="1"/>
        <charset val="136"/>
      </rPr>
      <t>本表資料係以觸法少年經法院裁定交付保護處分階段為基準，爰調整本表名稱為「觸法少年交付保護處分」，以期精確。</t>
    </r>
    <phoneticPr fontId="6" type="noConversion"/>
  </si>
  <si>
    <r>
      <t>101</t>
    </r>
    <r>
      <rPr>
        <sz val="12"/>
        <color theme="1"/>
        <rFont val="新細明體"/>
        <family val="2"/>
      </rPr>
      <t>年</t>
    </r>
    <phoneticPr fontId="6" type="noConversion"/>
  </si>
  <si>
    <r>
      <t>102年</t>
    </r>
    <r>
      <rPr>
        <sz val="12"/>
        <color theme="1"/>
        <rFont val="新細明體"/>
        <family val="2"/>
      </rPr>
      <t/>
    </r>
  </si>
  <si>
    <r>
      <t>103年</t>
    </r>
    <r>
      <rPr>
        <sz val="12"/>
        <color theme="1"/>
        <rFont val="新細明體"/>
        <family val="2"/>
      </rPr>
      <t/>
    </r>
  </si>
  <si>
    <r>
      <t>104年</t>
    </r>
    <r>
      <rPr>
        <sz val="12"/>
        <color theme="1"/>
        <rFont val="新細明體"/>
        <family val="2"/>
      </rPr>
      <t/>
    </r>
  </si>
  <si>
    <r>
      <t>105年</t>
    </r>
    <r>
      <rPr>
        <sz val="12"/>
        <color theme="1"/>
        <rFont val="新細明體"/>
        <family val="2"/>
      </rPr>
      <t/>
    </r>
  </si>
  <si>
    <r>
      <t>106年</t>
    </r>
    <r>
      <rPr>
        <sz val="12"/>
        <color theme="1"/>
        <rFont val="新細明體"/>
        <family val="2"/>
      </rPr>
      <t/>
    </r>
  </si>
  <si>
    <r>
      <t>107年</t>
    </r>
    <r>
      <rPr>
        <sz val="12"/>
        <color theme="1"/>
        <rFont val="新細明體"/>
        <family val="2"/>
      </rPr>
      <t/>
    </r>
  </si>
  <si>
    <r>
      <t>108年</t>
    </r>
    <r>
      <rPr>
        <sz val="12"/>
        <color theme="1"/>
        <rFont val="新細明體"/>
        <family val="2"/>
      </rPr>
      <t/>
    </r>
  </si>
  <si>
    <r>
      <t>109年</t>
    </r>
    <r>
      <rPr>
        <sz val="12"/>
        <color theme="1"/>
        <rFont val="新細明體"/>
        <family val="2"/>
      </rPr>
      <t/>
    </r>
  </si>
  <si>
    <r>
      <t>110年</t>
    </r>
    <r>
      <rPr>
        <sz val="12"/>
        <color theme="1"/>
        <rFont val="新細明體"/>
        <family val="2"/>
      </rPr>
      <t/>
    </r>
  </si>
  <si>
    <r>
      <rPr>
        <sz val="10"/>
        <rFont val="新細明體"/>
        <family val="1"/>
        <charset val="136"/>
      </rPr>
      <t>說　　明：</t>
    </r>
    <r>
      <rPr>
        <sz val="10"/>
        <rFont val="Times New Roman"/>
        <family val="1"/>
      </rPr>
      <t xml:space="preserve">1. </t>
    </r>
    <r>
      <rPr>
        <sz val="10"/>
        <rFont val="新細明體"/>
        <family val="1"/>
        <charset val="136"/>
      </rPr>
      <t>本表不包含未經個案調查人數及虞犯</t>
    </r>
    <r>
      <rPr>
        <sz val="10"/>
        <rFont val="Times New Roman"/>
        <family val="1"/>
      </rPr>
      <t>/</t>
    </r>
    <r>
      <rPr>
        <sz val="10"/>
        <rFont val="新細明體"/>
        <family val="1"/>
        <charset val="136"/>
      </rPr>
      <t>曝險少年。
　　　　　</t>
    </r>
    <r>
      <rPr>
        <sz val="10"/>
        <rFont val="Times New Roman"/>
        <family val="1"/>
      </rPr>
      <t xml:space="preserve">2. </t>
    </r>
    <r>
      <rPr>
        <sz val="10"/>
        <rFont val="新細明體"/>
        <family val="1"/>
        <charset val="136"/>
      </rPr>
      <t>肄業含在校及離校。
　　　　　</t>
    </r>
    <r>
      <rPr>
        <sz val="10"/>
        <rFont val="Times New Roman"/>
        <family val="1"/>
      </rPr>
      <t>3.</t>
    </r>
    <r>
      <rPr>
        <sz val="10"/>
        <rFont val="新細明體"/>
        <family val="1"/>
        <charset val="136"/>
      </rPr>
      <t>本表資料係以觸法少年經法院裁定交付保護處分階段為基準，爰調整本表名稱為「觸法少年交付保護處分」，以期精確。</t>
    </r>
    <phoneticPr fontId="6" type="noConversion"/>
  </si>
  <si>
    <r>
      <t>101</t>
    </r>
    <r>
      <rPr>
        <sz val="12"/>
        <color theme="1"/>
        <rFont val="新細明體"/>
        <family val="2"/>
        <charset val="136"/>
        <scheme val="minor"/>
      </rPr>
      <t>年</t>
    </r>
    <phoneticPr fontId="6" type="noConversion"/>
  </si>
  <si>
    <r>
      <rPr>
        <sz val="10"/>
        <rFont val="新細明體"/>
        <family val="1"/>
        <charset val="136"/>
      </rPr>
      <t>說　　明：</t>
    </r>
    <r>
      <rPr>
        <sz val="10"/>
        <rFont val="Times New Roman"/>
        <family val="1"/>
      </rPr>
      <t xml:space="preserve">1. </t>
    </r>
    <r>
      <rPr>
        <sz val="10"/>
        <rFont val="新細明體"/>
        <family val="1"/>
        <charset val="136"/>
      </rPr>
      <t>本表不包含未經個案調查人數及虞犯</t>
    </r>
    <r>
      <rPr>
        <sz val="10"/>
        <rFont val="Times New Roman"/>
        <family val="1"/>
      </rPr>
      <t>/</t>
    </r>
    <r>
      <rPr>
        <sz val="10"/>
        <rFont val="新細明體"/>
        <family val="1"/>
        <charset val="136"/>
      </rPr>
      <t>曝險少年。
　　　　　</t>
    </r>
    <r>
      <rPr>
        <sz val="10"/>
        <rFont val="Times New Roman"/>
        <family val="1"/>
      </rPr>
      <t xml:space="preserve">2. </t>
    </r>
    <r>
      <rPr>
        <sz val="10"/>
        <rFont val="新細明體"/>
        <family val="1"/>
        <charset val="136"/>
      </rPr>
      <t>本表原始檔案總計人數和前表不同，敬請留意。
　　　　　</t>
    </r>
    <r>
      <rPr>
        <sz val="10"/>
        <rFont val="Times New Roman"/>
        <family val="1"/>
      </rPr>
      <t>3.</t>
    </r>
    <r>
      <rPr>
        <sz val="10"/>
        <rFont val="新細明體"/>
        <family val="1"/>
        <charset val="136"/>
      </rPr>
      <t>本表資料係以觸法少年經法院裁定交付保護處分階段為基準，爰調整本表名稱為「觸法少年交付保護處分」，以期精確。</t>
    </r>
    <phoneticPr fontId="6" type="noConversion"/>
  </si>
  <si>
    <t>說　　明：1.本表不包含未經個案調查人數及虞犯/曝險少年。
　　　　　2.本表資料係以觸法少年經法院裁定交付保護處分階段為基準，爰調整本表名稱為「觸法少年交付保護處分」，以期精確。</t>
    <phoneticPr fontId="6" type="noConversion"/>
  </si>
  <si>
    <r>
      <t>101</t>
    </r>
    <r>
      <rPr>
        <sz val="12"/>
        <color theme="1"/>
        <rFont val="新細明體"/>
        <family val="2"/>
        <charset val="136"/>
        <scheme val="minor"/>
      </rPr>
      <t>年</t>
    </r>
    <phoneticPr fontId="6" type="noConversion"/>
  </si>
  <si>
    <r>
      <t>110年</t>
    </r>
    <r>
      <rPr>
        <sz val="12"/>
        <rFont val="Times New Roman"/>
        <family val="1"/>
      </rPr>
      <t/>
    </r>
  </si>
  <si>
    <r>
      <rPr>
        <sz val="10"/>
        <color theme="1"/>
        <rFont val="新細明體"/>
        <family val="1"/>
        <charset val="136"/>
      </rPr>
      <t>資料來源：司法院</t>
    </r>
    <r>
      <rPr>
        <sz val="10"/>
        <color theme="1"/>
        <rFont val="Times New Roman"/>
        <family val="1"/>
      </rPr>
      <t xml:space="preserve"> (</t>
    </r>
    <r>
      <rPr>
        <sz val="10"/>
        <color theme="1"/>
        <rFont val="新細明體"/>
        <family val="1"/>
        <charset val="136"/>
      </rPr>
      <t>表</t>
    </r>
    <r>
      <rPr>
        <sz val="10"/>
        <color theme="1"/>
        <rFont val="Times New Roman"/>
        <family val="1"/>
      </rPr>
      <t>10914-02-05-05)</t>
    </r>
    <r>
      <rPr>
        <sz val="10"/>
        <color theme="1"/>
        <rFont val="新細明體"/>
        <family val="1"/>
        <charset val="136"/>
      </rPr>
      <t>。
說　　明：本表刑事案件，係指當年度經法院裁判且經個案調查的少年。</t>
    </r>
    <phoneticPr fontId="6" type="noConversion"/>
  </si>
  <si>
    <r>
      <rPr>
        <sz val="12"/>
        <color theme="1"/>
        <rFont val="新細明體"/>
        <family val="2"/>
        <charset val="136"/>
      </rPr>
      <t>強盜罪</t>
    </r>
    <phoneticPr fontId="6" type="noConversion"/>
  </si>
  <si>
    <r>
      <rPr>
        <sz val="12"/>
        <color theme="1"/>
        <rFont val="新細明體"/>
        <family val="2"/>
        <charset val="136"/>
      </rPr>
      <t>傷害罪</t>
    </r>
    <phoneticPr fontId="6" type="noConversion"/>
  </si>
  <si>
    <r>
      <rPr>
        <sz val="12"/>
        <color theme="1"/>
        <rFont val="新細明體"/>
        <family val="2"/>
        <charset val="136"/>
      </rPr>
      <t>詐欺罪</t>
    </r>
    <phoneticPr fontId="6" type="noConversion"/>
  </si>
  <si>
    <r>
      <rPr>
        <sz val="12"/>
        <color theme="1"/>
        <rFont val="新細明體"/>
        <family val="2"/>
        <charset val="136"/>
      </rPr>
      <t>偽造文書印文罪</t>
    </r>
    <phoneticPr fontId="6" type="noConversion"/>
  </si>
  <si>
    <r>
      <rPr>
        <sz val="12"/>
        <color theme="1"/>
        <rFont val="新細明體"/>
        <family val="2"/>
        <charset val="136"/>
      </rPr>
      <t>妨害自由罪</t>
    </r>
    <phoneticPr fontId="6" type="noConversion"/>
  </si>
  <si>
    <r>
      <rPr>
        <sz val="12"/>
        <color theme="1"/>
        <rFont val="新細明體"/>
        <family val="2"/>
        <charset val="136"/>
      </rPr>
      <t>偽證罪</t>
    </r>
    <phoneticPr fontId="6" type="noConversion"/>
  </si>
  <si>
    <r>
      <rPr>
        <sz val="12"/>
        <color theme="1"/>
        <rFont val="新細明體"/>
        <family val="2"/>
        <charset val="136"/>
      </rPr>
      <t>藥事法</t>
    </r>
    <phoneticPr fontId="6" type="noConversion"/>
  </si>
  <si>
    <r>
      <rPr>
        <sz val="12"/>
        <color theme="1"/>
        <rFont val="新細明體"/>
        <family val="2"/>
        <charset val="136"/>
      </rPr>
      <t>妨害名譽及信用罪</t>
    </r>
    <phoneticPr fontId="6" type="noConversion"/>
  </si>
  <si>
    <r>
      <rPr>
        <sz val="12"/>
        <color theme="1"/>
        <rFont val="新細明體"/>
        <family val="2"/>
        <charset val="136"/>
      </rPr>
      <t>妨害風化罪</t>
    </r>
    <phoneticPr fontId="6" type="noConversion"/>
  </si>
  <si>
    <r>
      <rPr>
        <sz val="12"/>
        <color theme="1"/>
        <rFont val="新細明體"/>
        <family val="2"/>
        <charset val="136"/>
      </rPr>
      <t>重利罪</t>
    </r>
    <phoneticPr fontId="6" type="noConversion"/>
  </si>
  <si>
    <r>
      <rPr>
        <sz val="12"/>
        <color theme="1"/>
        <rFont val="新細明體"/>
        <family val="2"/>
        <charset val="136"/>
      </rPr>
      <t>恐嚇取財罪</t>
    </r>
    <phoneticPr fontId="6" type="noConversion"/>
  </si>
  <si>
    <r>
      <rPr>
        <sz val="12"/>
        <color theme="1"/>
        <rFont val="新細明體"/>
        <family val="2"/>
        <charset val="136"/>
      </rPr>
      <t>稅法</t>
    </r>
    <phoneticPr fontId="21" type="noConversion"/>
  </si>
  <si>
    <r>
      <rPr>
        <sz val="12"/>
        <color theme="1"/>
        <rFont val="新細明體"/>
        <family val="2"/>
        <charset val="136"/>
      </rPr>
      <t>廢棄物清理法</t>
    </r>
    <phoneticPr fontId="5" type="noConversion"/>
  </si>
  <si>
    <r>
      <rPr>
        <sz val="12"/>
        <color theme="1"/>
        <rFont val="新細明體"/>
        <family val="2"/>
        <charset val="136"/>
      </rPr>
      <t>擄人勒贖罪</t>
    </r>
    <phoneticPr fontId="6" type="noConversion"/>
  </si>
  <si>
    <r>
      <rPr>
        <sz val="12"/>
        <color theme="1"/>
        <rFont val="新細明體"/>
        <family val="2"/>
        <charset val="136"/>
      </rPr>
      <t>遺棄罪</t>
    </r>
    <phoneticPr fontId="6" type="noConversion"/>
  </si>
  <si>
    <r>
      <t>101</t>
    </r>
    <r>
      <rPr>
        <sz val="12"/>
        <color theme="1"/>
        <rFont val="新細明體"/>
        <family val="2"/>
        <charset val="136"/>
        <scheme val="minor"/>
      </rPr>
      <t>年</t>
    </r>
    <phoneticPr fontId="6" type="noConversion"/>
  </si>
  <si>
    <r>
      <rPr>
        <sz val="15"/>
        <color theme="1"/>
        <rFont val="新細明體"/>
        <family val="1"/>
        <charset val="136"/>
      </rPr>
      <t>表</t>
    </r>
    <r>
      <rPr>
        <sz val="15"/>
        <color theme="1"/>
        <rFont val="Times New Roman"/>
        <family val="1"/>
      </rPr>
      <t>3-2-15</t>
    </r>
    <r>
      <rPr>
        <sz val="15"/>
        <color theme="1"/>
        <rFont val="新細明體"/>
        <family val="1"/>
        <charset val="136"/>
      </rPr>
      <t>　</t>
    </r>
    <r>
      <rPr>
        <sz val="15"/>
        <color theme="1"/>
        <rFont val="Times New Roman"/>
        <family val="1"/>
      </rPr>
      <t>110</t>
    </r>
    <r>
      <rPr>
        <sz val="15"/>
        <color theme="1"/>
        <rFont val="新細明體"/>
        <family val="1"/>
        <charset val="136"/>
      </rPr>
      <t>年少年刑事案件之年齡、性別與罪名</t>
    </r>
    <phoneticPr fontId="6" type="noConversion"/>
  </si>
  <si>
    <t>兒少性剝削防制</t>
  </si>
  <si>
    <r>
      <t>110</t>
    </r>
    <r>
      <rPr>
        <sz val="12"/>
        <rFont val="細明體"/>
        <family val="3"/>
        <charset val="136"/>
      </rPr>
      <t>年</t>
    </r>
    <r>
      <rPr>
        <sz val="12"/>
        <color theme="1"/>
        <rFont val="新細明體"/>
        <family val="2"/>
        <charset val="136"/>
        <scheme val="minor"/>
      </rPr>
      <t/>
    </r>
    <phoneticPr fontId="5" type="noConversion"/>
  </si>
  <si>
    <t>-</t>
    <phoneticPr fontId="5" type="noConversion"/>
  </si>
  <si>
    <r>
      <t>110</t>
    </r>
    <r>
      <rPr>
        <sz val="12"/>
        <rFont val="細明體"/>
        <family val="3"/>
        <charset val="136"/>
      </rPr>
      <t>年</t>
    </r>
    <phoneticPr fontId="5" type="noConversion"/>
  </si>
  <si>
    <r>
      <t>101</t>
    </r>
    <r>
      <rPr>
        <sz val="12"/>
        <color theme="1"/>
        <rFont val="新細明體"/>
        <family val="2"/>
      </rPr>
      <t>年</t>
    </r>
    <phoneticPr fontId="6" type="noConversion"/>
  </si>
  <si>
    <r>
      <t>101</t>
    </r>
    <r>
      <rPr>
        <sz val="12"/>
        <color theme="1"/>
        <rFont val="新細明體"/>
        <family val="2"/>
        <charset val="136"/>
        <scheme val="minor"/>
      </rPr>
      <t>年</t>
    </r>
    <phoneticPr fontId="6" type="noConversion"/>
  </si>
  <si>
    <r>
      <t>101</t>
    </r>
    <r>
      <rPr>
        <sz val="12"/>
        <color theme="1"/>
        <rFont val="新細明體"/>
        <family val="2"/>
        <charset val="136"/>
        <scheme val="minor"/>
      </rPr>
      <t>年</t>
    </r>
    <phoneticPr fontId="6" type="noConversion"/>
  </si>
  <si>
    <r>
      <t>101</t>
    </r>
    <r>
      <rPr>
        <sz val="12"/>
        <color theme="1"/>
        <rFont val="新細明體"/>
        <family val="1"/>
        <charset val="136"/>
      </rPr>
      <t>年</t>
    </r>
    <phoneticPr fontId="6" type="noConversion"/>
  </si>
  <si>
    <r>
      <t>105年</t>
    </r>
    <r>
      <rPr>
        <sz val="12"/>
        <color theme="1"/>
        <rFont val="新細明體"/>
        <family val="1"/>
        <charset val="136"/>
      </rPr>
      <t/>
    </r>
  </si>
  <si>
    <r>
      <t>110年</t>
    </r>
    <r>
      <rPr>
        <sz val="12"/>
        <color theme="1"/>
        <rFont val="新細明體"/>
        <family val="1"/>
        <charset val="136"/>
      </rPr>
      <t/>
    </r>
  </si>
  <si>
    <r>
      <rPr>
        <sz val="10"/>
        <rFont val="新細明體"/>
        <family val="1"/>
        <charset val="136"/>
      </rPr>
      <t>說　　明：</t>
    </r>
    <r>
      <rPr>
        <sz val="10"/>
        <rFont val="Times New Roman"/>
        <family val="1"/>
      </rPr>
      <t xml:space="preserve">1. </t>
    </r>
    <r>
      <rPr>
        <sz val="10"/>
        <rFont val="新細明體"/>
        <family val="1"/>
        <charset val="136"/>
      </rPr>
      <t>被歸類為</t>
    </r>
    <r>
      <rPr>
        <sz val="10"/>
        <rFont val="Times New Roman"/>
        <family val="1"/>
      </rPr>
      <t>12</t>
    </r>
    <r>
      <rPr>
        <sz val="10"/>
        <rFont val="新細明體"/>
        <family val="1"/>
        <charset val="136"/>
      </rPr>
      <t>歲未滿的少年，係於移送時為</t>
    </r>
    <r>
      <rPr>
        <sz val="10"/>
        <rFont val="Times New Roman"/>
        <family val="1"/>
      </rPr>
      <t>12</t>
    </r>
    <r>
      <rPr>
        <sz val="10"/>
        <rFont val="新細明體"/>
        <family val="1"/>
        <charset val="136"/>
      </rPr>
      <t>歲以上，但在調查或審理階段時，始得知該少年觸法時未滿</t>
    </r>
    <r>
      <rPr>
        <sz val="10"/>
        <rFont val="Times New Roman"/>
        <family val="1"/>
      </rPr>
      <t>12</t>
    </r>
    <r>
      <rPr>
        <sz val="10"/>
        <rFont val="新細明體"/>
        <family val="1"/>
        <charset val="136"/>
      </rPr>
      <t>歲而言。
　　　　　</t>
    </r>
    <r>
      <rPr>
        <sz val="10"/>
        <rFont val="Times New Roman"/>
        <family val="1"/>
      </rPr>
      <t xml:space="preserve">2. </t>
    </r>
    <r>
      <rPr>
        <sz val="10"/>
        <rFont val="新細明體"/>
        <family val="1"/>
        <charset val="136"/>
      </rPr>
      <t>本表虞犯</t>
    </r>
    <r>
      <rPr>
        <sz val="10"/>
        <rFont val="Times New Roman"/>
        <family val="1"/>
      </rPr>
      <t>/</t>
    </r>
    <r>
      <rPr>
        <sz val="10"/>
        <rFont val="新細明體"/>
        <family val="1"/>
        <charset val="136"/>
      </rPr>
      <t>曝險少年，係指當年度經法院裁定交付保護處分且經個案調查者。
　　　　　</t>
    </r>
    <r>
      <rPr>
        <sz val="10"/>
        <rFont val="Times New Roman"/>
        <family val="1"/>
      </rPr>
      <t>3.</t>
    </r>
    <r>
      <rPr>
        <sz val="10"/>
        <rFont val="新細明體"/>
        <family val="1"/>
        <charset val="136"/>
      </rPr>
      <t>基於少年事件處理法自</t>
    </r>
    <r>
      <rPr>
        <sz val="10"/>
        <rFont val="Times New Roman"/>
        <family val="1"/>
      </rPr>
      <t>108</t>
    </r>
    <r>
      <rPr>
        <sz val="10"/>
        <rFont val="新細明體"/>
        <family val="1"/>
        <charset val="136"/>
      </rPr>
      <t>年修正虞犯少年為曝險少年，本表於</t>
    </r>
    <r>
      <rPr>
        <sz val="10"/>
        <rFont val="Times New Roman"/>
        <family val="1"/>
      </rPr>
      <t>108</t>
    </r>
    <r>
      <rPr>
        <sz val="10"/>
        <rFont val="新細明體"/>
        <family val="1"/>
        <charset val="136"/>
      </rPr>
      <t>年</t>
    </r>
    <r>
      <rPr>
        <sz val="10"/>
        <rFont val="Times New Roman"/>
        <family val="1"/>
      </rPr>
      <t>6</t>
    </r>
    <r>
      <rPr>
        <sz val="10"/>
        <rFont val="新細明體"/>
        <family val="1"/>
        <charset val="136"/>
      </rPr>
      <t>月前為虞犯少年數據，其後為曝險少年數據。</t>
    </r>
    <phoneticPr fontId="18" type="noConversion"/>
  </si>
  <si>
    <r>
      <t>101</t>
    </r>
    <r>
      <rPr>
        <sz val="12"/>
        <color theme="1"/>
        <rFont val="新細明體"/>
        <family val="2"/>
      </rPr>
      <t>年</t>
    </r>
    <phoneticPr fontId="6" type="noConversion"/>
  </si>
  <si>
    <r>
      <rPr>
        <sz val="10"/>
        <rFont val="新細明體"/>
        <family val="1"/>
        <charset val="136"/>
      </rPr>
      <t>說　　明：</t>
    </r>
    <r>
      <rPr>
        <sz val="10"/>
        <rFont val="Times New Roman"/>
        <family val="1"/>
      </rPr>
      <t xml:space="preserve">1. </t>
    </r>
    <r>
      <rPr>
        <sz val="10"/>
        <rFont val="新細明體"/>
        <family val="1"/>
        <charset val="136"/>
      </rPr>
      <t>肄業含在校及離校。
　　　　　</t>
    </r>
    <r>
      <rPr>
        <sz val="10"/>
        <rFont val="Times New Roman"/>
        <family val="1"/>
      </rPr>
      <t xml:space="preserve">2. </t>
    </r>
    <r>
      <rPr>
        <sz val="10"/>
        <rFont val="新細明體"/>
        <family val="1"/>
        <charset val="136"/>
      </rPr>
      <t>本表虞犯</t>
    </r>
    <r>
      <rPr>
        <sz val="10"/>
        <rFont val="Times New Roman"/>
        <family val="1"/>
      </rPr>
      <t>/</t>
    </r>
    <r>
      <rPr>
        <sz val="10"/>
        <rFont val="新細明體"/>
        <family val="1"/>
        <charset val="136"/>
      </rPr>
      <t>曝險少年，係指當年度經法院裁定交付保護處分且經個案調查者。
　　　　　</t>
    </r>
    <r>
      <rPr>
        <sz val="10"/>
        <rFont val="Times New Roman"/>
        <family val="1"/>
      </rPr>
      <t>3.</t>
    </r>
    <r>
      <rPr>
        <sz val="10"/>
        <rFont val="新細明體"/>
        <family val="1"/>
        <charset val="136"/>
      </rPr>
      <t>基於少年事件處理法自</t>
    </r>
    <r>
      <rPr>
        <sz val="10"/>
        <rFont val="Times New Roman"/>
        <family val="1"/>
      </rPr>
      <t>108</t>
    </r>
    <r>
      <rPr>
        <sz val="10"/>
        <rFont val="新細明體"/>
        <family val="1"/>
        <charset val="136"/>
      </rPr>
      <t>年修正虞犯少年為曝險少年，本表於</t>
    </r>
    <r>
      <rPr>
        <sz val="10"/>
        <rFont val="Times New Roman"/>
        <family val="1"/>
      </rPr>
      <t>108</t>
    </r>
    <r>
      <rPr>
        <sz val="10"/>
        <rFont val="新細明體"/>
        <family val="1"/>
        <charset val="136"/>
      </rPr>
      <t>年</t>
    </r>
    <r>
      <rPr>
        <sz val="10"/>
        <rFont val="Times New Roman"/>
        <family val="1"/>
      </rPr>
      <t>6</t>
    </r>
    <r>
      <rPr>
        <sz val="10"/>
        <rFont val="新細明體"/>
        <family val="1"/>
        <charset val="136"/>
      </rPr>
      <t>月前為虞犯少年數據，其後為曝險少年數據。</t>
    </r>
    <phoneticPr fontId="18" type="noConversion"/>
  </si>
  <si>
    <r>
      <t>101</t>
    </r>
    <r>
      <rPr>
        <sz val="12"/>
        <color theme="1"/>
        <rFont val="新細明體"/>
        <family val="2"/>
      </rPr>
      <t>年</t>
    </r>
    <phoneticPr fontId="6"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</si>
  <si>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 xml:space="preserve">10914-03-06-05) </t>
    </r>
    <r>
      <rPr>
        <sz val="10"/>
        <rFont val="新細明體"/>
        <family val="1"/>
        <charset val="136"/>
      </rPr>
      <t>。
說　　明：</t>
    </r>
    <r>
      <rPr>
        <sz val="10"/>
        <rFont val="Times New Roman"/>
        <family val="1"/>
      </rPr>
      <t>1.</t>
    </r>
    <r>
      <rPr>
        <sz val="10"/>
        <rFont val="新細明體"/>
        <family val="1"/>
        <charset val="136"/>
      </rPr>
      <t>本表虞犯</t>
    </r>
    <r>
      <rPr>
        <sz val="10"/>
        <rFont val="Times New Roman"/>
        <family val="1"/>
      </rPr>
      <t>/</t>
    </r>
    <r>
      <rPr>
        <sz val="10"/>
        <rFont val="新細明體"/>
        <family val="1"/>
        <charset val="136"/>
      </rPr>
      <t>曝險少年，係指當年度經法院裁定交付保護處分且經個案調查者。
　　　　　</t>
    </r>
    <r>
      <rPr>
        <sz val="10"/>
        <rFont val="Times New Roman"/>
        <family val="1"/>
      </rPr>
      <t>2.</t>
    </r>
    <r>
      <rPr>
        <sz val="10"/>
        <rFont val="新細明體"/>
        <family val="1"/>
        <charset val="136"/>
      </rPr>
      <t>基於少年事件處理法自</t>
    </r>
    <r>
      <rPr>
        <sz val="10"/>
        <rFont val="Times New Roman"/>
        <family val="1"/>
      </rPr>
      <t>108</t>
    </r>
    <r>
      <rPr>
        <sz val="10"/>
        <rFont val="新細明體"/>
        <family val="1"/>
        <charset val="136"/>
      </rPr>
      <t>年修正虞犯少年為曝險少年，本表於</t>
    </r>
    <r>
      <rPr>
        <sz val="10"/>
        <rFont val="Times New Roman"/>
        <family val="1"/>
      </rPr>
      <t>108</t>
    </r>
    <r>
      <rPr>
        <sz val="10"/>
        <rFont val="新細明體"/>
        <family val="1"/>
        <charset val="136"/>
      </rPr>
      <t>年</t>
    </r>
    <r>
      <rPr>
        <sz val="10"/>
        <rFont val="Times New Roman"/>
        <family val="1"/>
      </rPr>
      <t>6</t>
    </r>
    <r>
      <rPr>
        <sz val="10"/>
        <rFont val="新細明體"/>
        <family val="1"/>
        <charset val="136"/>
      </rPr>
      <t>月前為虞犯少年數據，其後為曝險少年數據。</t>
    </r>
    <phoneticPr fontId="6" type="noConversion"/>
  </si>
  <si>
    <r>
      <rPr>
        <sz val="10"/>
        <rFont val="新細明體"/>
        <family val="1"/>
        <charset val="136"/>
      </rPr>
      <t>說　　明：</t>
    </r>
    <r>
      <rPr>
        <sz val="10"/>
        <rFont val="Times New Roman"/>
        <family val="1"/>
      </rPr>
      <t xml:space="preserve">1. </t>
    </r>
    <r>
      <rPr>
        <sz val="10"/>
        <rFont val="新細明體"/>
        <family val="1"/>
        <charset val="136"/>
      </rPr>
      <t>本表原始檔案總計人數和前表不同，敬請留意。
　　　　　</t>
    </r>
    <r>
      <rPr>
        <sz val="10"/>
        <rFont val="Times New Roman"/>
        <family val="1"/>
      </rPr>
      <t xml:space="preserve">2. </t>
    </r>
    <r>
      <rPr>
        <sz val="10"/>
        <rFont val="新細明體"/>
        <family val="1"/>
        <charset val="136"/>
      </rPr>
      <t>本表虞犯</t>
    </r>
    <r>
      <rPr>
        <sz val="10"/>
        <rFont val="Times New Roman"/>
        <family val="1"/>
      </rPr>
      <t>/</t>
    </r>
    <r>
      <rPr>
        <sz val="10"/>
        <rFont val="新細明體"/>
        <family val="1"/>
        <charset val="136"/>
      </rPr>
      <t>曝險少年，係指當年度經法院裁定交付保護處分且經個案調查者。
　　　　　</t>
    </r>
    <r>
      <rPr>
        <sz val="10"/>
        <rFont val="Times New Roman"/>
        <family val="1"/>
      </rPr>
      <t>3.</t>
    </r>
    <r>
      <rPr>
        <sz val="10"/>
        <rFont val="新細明體"/>
        <family val="1"/>
        <charset val="136"/>
      </rPr>
      <t>基於少年事件處理法自</t>
    </r>
    <r>
      <rPr>
        <sz val="10"/>
        <rFont val="Times New Roman"/>
        <family val="1"/>
      </rPr>
      <t>108</t>
    </r>
    <r>
      <rPr>
        <sz val="10"/>
        <rFont val="新細明體"/>
        <family val="1"/>
        <charset val="136"/>
      </rPr>
      <t>年修正虞犯少年為曝險少年，本表於</t>
    </r>
    <r>
      <rPr>
        <sz val="10"/>
        <rFont val="Times New Roman"/>
        <family val="1"/>
      </rPr>
      <t>108</t>
    </r>
    <r>
      <rPr>
        <sz val="10"/>
        <rFont val="新細明體"/>
        <family val="1"/>
        <charset val="136"/>
      </rPr>
      <t>年</t>
    </r>
    <r>
      <rPr>
        <sz val="10"/>
        <rFont val="Times New Roman"/>
        <family val="1"/>
      </rPr>
      <t>6</t>
    </r>
    <r>
      <rPr>
        <sz val="10"/>
        <rFont val="新細明體"/>
        <family val="1"/>
        <charset val="136"/>
      </rPr>
      <t>月前為虞犯少年數據，其後為曝險少年數據。</t>
    </r>
    <phoneticPr fontId="18" type="noConversion"/>
  </si>
  <si>
    <r>
      <rPr>
        <sz val="10"/>
        <rFont val="新細明體"/>
        <family val="1"/>
        <charset val="136"/>
      </rPr>
      <t>資料來源：司法院</t>
    </r>
    <r>
      <rPr>
        <sz val="10"/>
        <rFont val="Times New Roman"/>
        <family val="1"/>
      </rPr>
      <t xml:space="preserve"> (</t>
    </r>
    <r>
      <rPr>
        <sz val="10"/>
        <rFont val="新細明體"/>
        <family val="1"/>
        <charset val="136"/>
      </rPr>
      <t>表</t>
    </r>
    <r>
      <rPr>
        <sz val="10"/>
        <rFont val="Times New Roman"/>
        <family val="1"/>
      </rPr>
      <t>10914-03-04-05)</t>
    </r>
    <r>
      <rPr>
        <sz val="10"/>
        <rFont val="新細明體"/>
        <family val="1"/>
        <charset val="136"/>
      </rPr>
      <t>。
說　　明：</t>
    </r>
    <r>
      <rPr>
        <sz val="10"/>
        <rFont val="Times New Roman"/>
        <family val="1"/>
      </rPr>
      <t>1.</t>
    </r>
    <r>
      <rPr>
        <sz val="10"/>
        <rFont val="新細明體"/>
        <family val="1"/>
        <charset val="136"/>
      </rPr>
      <t>本表虞犯</t>
    </r>
    <r>
      <rPr>
        <sz val="10"/>
        <rFont val="Times New Roman"/>
        <family val="1"/>
      </rPr>
      <t>/</t>
    </r>
    <r>
      <rPr>
        <sz val="10"/>
        <rFont val="新細明體"/>
        <family val="1"/>
        <charset val="136"/>
      </rPr>
      <t>曝險少年，係指當年度經法院裁定交付保護處分且經個案調查者。
　　　　　</t>
    </r>
    <r>
      <rPr>
        <sz val="10"/>
        <rFont val="Times New Roman"/>
        <family val="1"/>
      </rPr>
      <t>2.</t>
    </r>
    <r>
      <rPr>
        <sz val="10"/>
        <rFont val="新細明體"/>
        <family val="1"/>
        <charset val="136"/>
      </rPr>
      <t>基於少年事件處理法自</t>
    </r>
    <r>
      <rPr>
        <sz val="10"/>
        <rFont val="Times New Roman"/>
        <family val="1"/>
      </rPr>
      <t>108</t>
    </r>
    <r>
      <rPr>
        <sz val="10"/>
        <rFont val="新細明體"/>
        <family val="1"/>
        <charset val="136"/>
      </rPr>
      <t>年修正虞犯少年為曝險少年，本表於</t>
    </r>
    <r>
      <rPr>
        <sz val="10"/>
        <rFont val="Times New Roman"/>
        <family val="1"/>
      </rPr>
      <t>108</t>
    </r>
    <r>
      <rPr>
        <sz val="10"/>
        <rFont val="新細明體"/>
        <family val="1"/>
        <charset val="136"/>
      </rPr>
      <t>年</t>
    </r>
    <r>
      <rPr>
        <sz val="10"/>
        <rFont val="Times New Roman"/>
        <family val="1"/>
      </rPr>
      <t>6</t>
    </r>
    <r>
      <rPr>
        <sz val="10"/>
        <rFont val="新細明體"/>
        <family val="1"/>
        <charset val="136"/>
      </rPr>
      <t>月前為虞犯少年數據，其後為曝險少年數據。</t>
    </r>
    <phoneticPr fontId="6" type="noConversion"/>
  </si>
  <si>
    <r>
      <rPr>
        <sz val="15"/>
        <rFont val="新細明體"/>
        <family val="1"/>
        <charset val="136"/>
      </rPr>
      <t>表</t>
    </r>
    <r>
      <rPr>
        <sz val="15"/>
        <rFont val="Times New Roman"/>
        <family val="1"/>
      </rPr>
      <t xml:space="preserve"> 3-3-1</t>
    </r>
    <r>
      <rPr>
        <sz val="15"/>
        <rFont val="新細明體"/>
        <family val="1"/>
        <charset val="136"/>
      </rPr>
      <t>　近</t>
    </r>
    <r>
      <rPr>
        <sz val="15"/>
        <rFont val="Times New Roman"/>
        <family val="1"/>
      </rPr>
      <t>5</t>
    </r>
    <r>
      <rPr>
        <sz val="15"/>
        <rFont val="新細明體"/>
        <family val="1"/>
        <charset val="136"/>
      </rPr>
      <t>年少年觀護所新入所收容</t>
    </r>
    <r>
      <rPr>
        <sz val="15"/>
        <rFont val="Times New Roman"/>
        <family val="1"/>
      </rPr>
      <t>/</t>
    </r>
    <r>
      <rPr>
        <sz val="15"/>
        <rFont val="新細明體"/>
        <family val="1"/>
        <charset val="136"/>
      </rPr>
      <t>羈押人數與性別</t>
    </r>
    <phoneticPr fontId="18" type="noConversion"/>
  </si>
  <si>
    <t>表 3-3-8　近5年少年矯正學校新入校受感化教育學生之性別與年齡</t>
  </si>
  <si>
    <t>表 3-3-9　近5年少年矯正學校新入校受感化教育學生之性別與教育程度</t>
  </si>
  <si>
    <t>表 3-3-10　近5年少年矯正學校新入校受感化教育學生之性別與家庭經濟狀況</t>
  </si>
  <si>
    <t>表  3-3-11　近5年少年矯正學校新入校受感化教育學生之性別與罪名</t>
  </si>
  <si>
    <r>
      <rPr>
        <sz val="12"/>
        <color theme="1"/>
        <rFont val="新細明體"/>
        <family val="2"/>
        <charset val="136"/>
      </rPr>
      <t>計</t>
    </r>
    <phoneticPr fontId="18" type="noConversion"/>
  </si>
  <si>
    <r>
      <rPr>
        <sz val="12"/>
        <color theme="1"/>
        <rFont val="新細明體"/>
        <family val="2"/>
        <charset val="136"/>
      </rPr>
      <t>女</t>
    </r>
    <phoneticPr fontId="18" type="noConversion"/>
  </si>
  <si>
    <r>
      <rPr>
        <sz val="12"/>
        <color theme="1"/>
        <rFont val="新細明體"/>
        <family val="2"/>
        <charset val="136"/>
      </rPr>
      <t>男</t>
    </r>
    <phoneticPr fontId="18" type="noConversion"/>
  </si>
  <si>
    <r>
      <rPr>
        <sz val="12"/>
        <color theme="1"/>
        <rFont val="新細明體"/>
        <family val="2"/>
        <charset val="136"/>
      </rPr>
      <t>其他罪名</t>
    </r>
    <r>
      <rPr>
        <sz val="12"/>
        <rFont val="Times New Roman"/>
        <family val="1"/>
      </rPr>
      <t xml:space="preserve">             </t>
    </r>
    <phoneticPr fontId="18" type="noConversion"/>
  </si>
  <si>
    <r>
      <rPr>
        <sz val="12"/>
        <color theme="1"/>
        <rFont val="新細明體"/>
        <family val="2"/>
        <charset val="136"/>
      </rPr>
      <t>總計</t>
    </r>
    <phoneticPr fontId="18" type="noConversion"/>
  </si>
  <si>
    <r>
      <rPr>
        <sz val="12"/>
        <color theme="1"/>
        <rFont val="新細明體"/>
        <family val="2"/>
        <charset val="136"/>
      </rPr>
      <t>人</t>
    </r>
    <phoneticPr fontId="18" type="noConversion"/>
  </si>
  <si>
    <r>
      <t>101</t>
    </r>
    <r>
      <rPr>
        <sz val="12"/>
        <color theme="1"/>
        <rFont val="新細明體"/>
        <family val="2"/>
        <charset val="136"/>
        <scheme val="minor"/>
      </rPr>
      <t>年</t>
    </r>
    <phoneticPr fontId="6" type="noConversion"/>
  </si>
  <si>
    <r>
      <rPr>
        <sz val="12"/>
        <color theme="1"/>
        <rFont val="新細明體"/>
        <family val="2"/>
        <charset val="136"/>
        <scheme val="minor"/>
      </rPr>
      <t>人</t>
    </r>
    <phoneticPr fontId="6" type="noConversion"/>
  </si>
  <si>
    <t>%</t>
    <phoneticPr fontId="6" type="noConversion"/>
  </si>
  <si>
    <r>
      <rPr>
        <sz val="12"/>
        <color theme="1"/>
        <rFont val="新細明體"/>
        <family val="2"/>
        <charset val="136"/>
        <scheme val="minor"/>
      </rPr>
      <t>人</t>
    </r>
    <phoneticPr fontId="6" type="noConversion"/>
  </si>
  <si>
    <r>
      <t>106</t>
    </r>
    <r>
      <rPr>
        <sz val="12"/>
        <color theme="1"/>
        <rFont val="新細明體"/>
        <family val="2"/>
        <charset val="136"/>
        <scheme val="minor"/>
      </rPr>
      <t>年</t>
    </r>
    <phoneticPr fontId="6" type="noConversion"/>
  </si>
  <si>
    <r>
      <rPr>
        <sz val="12"/>
        <color theme="1"/>
        <rFont val="新細明體"/>
        <family val="2"/>
        <charset val="136"/>
        <scheme val="minor"/>
      </rPr>
      <t>人</t>
    </r>
    <phoneticPr fontId="6" type="noConversion"/>
  </si>
  <si>
    <t>-</t>
    <phoneticPr fontId="21" type="noConversion"/>
  </si>
  <si>
    <r>
      <t>106</t>
    </r>
    <r>
      <rPr>
        <sz val="12"/>
        <color theme="1"/>
        <rFont val="新細明體"/>
        <family val="2"/>
        <charset val="136"/>
        <scheme val="minor"/>
      </rPr>
      <t>年</t>
    </r>
    <phoneticPr fontId="18" type="noConversion"/>
  </si>
  <si>
    <t>計</t>
    <phoneticPr fontId="5" type="noConversion"/>
  </si>
  <si>
    <r>
      <rPr>
        <sz val="12"/>
        <color theme="1"/>
        <rFont val="新細明體"/>
        <family val="2"/>
        <charset val="136"/>
        <scheme val="minor"/>
      </rPr>
      <t>男</t>
    </r>
    <r>
      <rPr>
        <sz val="12"/>
        <rFont val="Times New Roman"/>
        <family val="1"/>
      </rPr>
      <t xml:space="preserve">           </t>
    </r>
    <phoneticPr fontId="18" type="noConversion"/>
  </si>
  <si>
    <t xml:space="preserve"> %</t>
    <phoneticPr fontId="18" type="noConversion"/>
  </si>
  <si>
    <r>
      <t xml:space="preserve"> </t>
    </r>
    <r>
      <rPr>
        <sz val="12"/>
        <color theme="1"/>
        <rFont val="新細明體"/>
        <family val="2"/>
        <charset val="136"/>
        <scheme val="minor"/>
      </rPr>
      <t>人</t>
    </r>
    <phoneticPr fontId="18" type="noConversion"/>
  </si>
  <si>
    <t>收容少年</t>
    <phoneticPr fontId="18" type="noConversion"/>
  </si>
  <si>
    <t>計</t>
    <phoneticPr fontId="18" type="noConversion"/>
  </si>
  <si>
    <r>
      <t xml:space="preserve"> </t>
    </r>
    <r>
      <rPr>
        <sz val="12"/>
        <color theme="1"/>
        <rFont val="新細明體"/>
        <family val="2"/>
        <charset val="136"/>
        <scheme val="minor"/>
      </rPr>
      <t>人</t>
    </r>
    <phoneticPr fontId="18" type="noConversion"/>
  </si>
  <si>
    <r>
      <t xml:space="preserve"> </t>
    </r>
    <r>
      <rPr>
        <sz val="12"/>
        <color theme="1"/>
        <rFont val="新細明體"/>
        <family val="2"/>
        <charset val="136"/>
        <scheme val="minor"/>
      </rPr>
      <t>人</t>
    </r>
    <phoneticPr fontId="18" type="noConversion"/>
  </si>
  <si>
    <r>
      <rPr>
        <sz val="12"/>
        <color theme="1"/>
        <rFont val="新細明體"/>
        <family val="2"/>
        <charset val="136"/>
        <scheme val="minor"/>
      </rPr>
      <t>羈押少年</t>
    </r>
    <phoneticPr fontId="18" type="noConversion"/>
  </si>
  <si>
    <t>計</t>
    <phoneticPr fontId="18" type="noConversion"/>
  </si>
  <si>
    <r>
      <rPr>
        <sz val="15"/>
        <color theme="1"/>
        <rFont val="新細明體"/>
        <family val="1"/>
        <charset val="136"/>
      </rPr>
      <t>表</t>
    </r>
    <r>
      <rPr>
        <sz val="15"/>
        <color theme="1"/>
        <rFont val="Times New Roman"/>
        <family val="1"/>
      </rPr>
      <t xml:space="preserve"> 3-3-2</t>
    </r>
    <r>
      <rPr>
        <sz val="15"/>
        <color theme="1"/>
        <rFont val="新細明體"/>
        <family val="1"/>
        <charset val="136"/>
      </rPr>
      <t>　近</t>
    </r>
    <r>
      <rPr>
        <sz val="15"/>
        <color theme="1"/>
        <rFont val="Times New Roman"/>
        <family val="1"/>
      </rPr>
      <t>5</t>
    </r>
    <r>
      <rPr>
        <sz val="15"/>
        <color theme="1"/>
        <rFont val="新細明體"/>
        <family val="1"/>
        <charset val="136"/>
      </rPr>
      <t>年少年觀護所新入所收容</t>
    </r>
    <r>
      <rPr>
        <sz val="15"/>
        <color theme="1"/>
        <rFont val="Times New Roman"/>
        <family val="1"/>
      </rPr>
      <t>/</t>
    </r>
    <r>
      <rPr>
        <sz val="15"/>
        <color theme="1"/>
        <rFont val="新細明體"/>
        <family val="1"/>
        <charset val="136"/>
      </rPr>
      <t>羈押少年之性別與年齡</t>
    </r>
    <phoneticPr fontId="18" type="noConversion"/>
  </si>
  <si>
    <r>
      <rPr>
        <sz val="12"/>
        <color theme="1"/>
        <rFont val="新細明體"/>
        <family val="2"/>
        <charset val="136"/>
        <scheme val="minor"/>
      </rPr>
      <t>計</t>
    </r>
    <phoneticPr fontId="18" type="noConversion"/>
  </si>
  <si>
    <r>
      <rPr>
        <sz val="12"/>
        <color theme="1"/>
        <rFont val="新細明體"/>
        <family val="2"/>
        <charset val="136"/>
        <scheme val="minor"/>
      </rPr>
      <t>女</t>
    </r>
    <phoneticPr fontId="18" type="noConversion"/>
  </si>
  <si>
    <r>
      <rPr>
        <sz val="12"/>
        <color theme="1"/>
        <rFont val="新細明體"/>
        <family val="2"/>
        <charset val="136"/>
        <scheme val="minor"/>
      </rPr>
      <t>計</t>
    </r>
    <phoneticPr fontId="18" type="noConversion"/>
  </si>
  <si>
    <r>
      <rPr>
        <sz val="12"/>
        <color theme="1"/>
        <rFont val="新細明體"/>
        <family val="2"/>
        <charset val="136"/>
        <scheme val="minor"/>
      </rPr>
      <t>男</t>
    </r>
    <phoneticPr fontId="18" type="noConversion"/>
  </si>
  <si>
    <r>
      <rPr>
        <sz val="12"/>
        <color theme="1"/>
        <rFont val="新細明體"/>
        <family val="2"/>
        <charset val="136"/>
        <scheme val="minor"/>
      </rPr>
      <t>男</t>
    </r>
    <phoneticPr fontId="18" type="noConversion"/>
  </si>
  <si>
    <r>
      <rPr>
        <sz val="12"/>
        <color theme="1"/>
        <rFont val="新細明體"/>
        <family val="2"/>
        <charset val="136"/>
        <scheme val="minor"/>
      </rPr>
      <t>女</t>
    </r>
    <phoneticPr fontId="18" type="noConversion"/>
  </si>
  <si>
    <r>
      <rPr>
        <sz val="12"/>
        <color theme="1"/>
        <rFont val="新細明體"/>
        <family val="2"/>
        <charset val="136"/>
        <scheme val="minor"/>
      </rPr>
      <t>總計</t>
    </r>
    <phoneticPr fontId="18" type="noConversion"/>
  </si>
  <si>
    <r>
      <t>12</t>
    </r>
    <r>
      <rPr>
        <sz val="12"/>
        <color theme="1"/>
        <rFont val="新細明體"/>
        <family val="2"/>
        <charset val="136"/>
        <scheme val="minor"/>
      </rPr>
      <t>歲以上</t>
    </r>
    <r>
      <rPr>
        <sz val="12"/>
        <rFont val="Times New Roman"/>
        <family val="1"/>
      </rPr>
      <t>13</t>
    </r>
    <r>
      <rPr>
        <sz val="12"/>
        <color theme="1"/>
        <rFont val="新細明體"/>
        <family val="2"/>
        <charset val="136"/>
        <scheme val="minor"/>
      </rPr>
      <t>歲未滿</t>
    </r>
    <r>
      <rPr>
        <sz val="12"/>
        <rFont val="Times New Roman"/>
        <family val="1"/>
      </rPr>
      <t xml:space="preserve">    </t>
    </r>
    <phoneticPr fontId="5" type="noConversion"/>
  </si>
  <si>
    <r>
      <rPr>
        <sz val="12"/>
        <color theme="1"/>
        <rFont val="新細明體"/>
        <family val="2"/>
        <charset val="136"/>
        <scheme val="minor"/>
      </rPr>
      <t>人</t>
    </r>
    <phoneticPr fontId="18" type="noConversion"/>
  </si>
  <si>
    <r>
      <t>14</t>
    </r>
    <r>
      <rPr>
        <sz val="12"/>
        <color theme="1"/>
        <rFont val="新細明體"/>
        <family val="2"/>
        <charset val="136"/>
        <scheme val="minor"/>
      </rPr>
      <t>歲以上</t>
    </r>
    <r>
      <rPr>
        <sz val="12"/>
        <rFont val="Times New Roman"/>
        <family val="1"/>
      </rPr>
      <t>15</t>
    </r>
    <r>
      <rPr>
        <sz val="12"/>
        <color theme="1"/>
        <rFont val="新細明體"/>
        <family val="2"/>
        <charset val="136"/>
        <scheme val="minor"/>
      </rPr>
      <t>歲未滿</t>
    </r>
    <r>
      <rPr>
        <sz val="12"/>
        <rFont val="Times New Roman"/>
        <family val="1"/>
      </rPr>
      <t xml:space="preserve">       </t>
    </r>
    <phoneticPr fontId="5" type="noConversion"/>
  </si>
  <si>
    <r>
      <rPr>
        <sz val="12"/>
        <color theme="1"/>
        <rFont val="新細明體"/>
        <family val="2"/>
        <charset val="136"/>
        <scheme val="minor"/>
      </rPr>
      <t>人</t>
    </r>
    <phoneticPr fontId="18" type="noConversion"/>
  </si>
  <si>
    <r>
      <t>15</t>
    </r>
    <r>
      <rPr>
        <sz val="12"/>
        <color theme="1"/>
        <rFont val="新細明體"/>
        <family val="2"/>
        <charset val="136"/>
        <scheme val="minor"/>
      </rPr>
      <t>歲以上</t>
    </r>
    <r>
      <rPr>
        <sz val="12"/>
        <rFont val="Times New Roman"/>
        <family val="1"/>
      </rPr>
      <t>16</t>
    </r>
    <r>
      <rPr>
        <sz val="12"/>
        <color theme="1"/>
        <rFont val="新細明體"/>
        <family val="2"/>
        <charset val="136"/>
        <scheme val="minor"/>
      </rPr>
      <t>歲未滿</t>
    </r>
    <r>
      <rPr>
        <sz val="12"/>
        <rFont val="Times New Roman"/>
        <family val="1"/>
      </rPr>
      <t xml:space="preserve">    </t>
    </r>
    <phoneticPr fontId="5" type="noConversion"/>
  </si>
  <si>
    <r>
      <rPr>
        <sz val="12"/>
        <color theme="1"/>
        <rFont val="新細明體"/>
        <family val="2"/>
        <charset val="136"/>
        <scheme val="minor"/>
      </rPr>
      <t>人</t>
    </r>
    <phoneticPr fontId="18" type="noConversion"/>
  </si>
  <si>
    <r>
      <t>16</t>
    </r>
    <r>
      <rPr>
        <sz val="12"/>
        <color theme="1"/>
        <rFont val="新細明體"/>
        <family val="2"/>
        <charset val="136"/>
        <scheme val="minor"/>
      </rPr>
      <t>歲以上</t>
    </r>
    <r>
      <rPr>
        <sz val="12"/>
        <rFont val="Times New Roman"/>
        <family val="1"/>
      </rPr>
      <t>17</t>
    </r>
    <r>
      <rPr>
        <sz val="12"/>
        <color theme="1"/>
        <rFont val="新細明體"/>
        <family val="2"/>
        <charset val="136"/>
        <scheme val="minor"/>
      </rPr>
      <t>歲未滿</t>
    </r>
    <r>
      <rPr>
        <sz val="12"/>
        <rFont val="Times New Roman"/>
        <family val="1"/>
      </rPr>
      <t xml:space="preserve">      </t>
    </r>
    <phoneticPr fontId="5" type="noConversion"/>
  </si>
  <si>
    <r>
      <t>17</t>
    </r>
    <r>
      <rPr>
        <sz val="12"/>
        <color theme="1"/>
        <rFont val="新細明體"/>
        <family val="2"/>
        <charset val="136"/>
        <scheme val="minor"/>
      </rPr>
      <t>歲以上</t>
    </r>
    <r>
      <rPr>
        <sz val="12"/>
        <rFont val="Times New Roman"/>
        <family val="1"/>
      </rPr>
      <t>18</t>
    </r>
    <r>
      <rPr>
        <sz val="12"/>
        <color theme="1"/>
        <rFont val="新細明體"/>
        <family val="2"/>
        <charset val="136"/>
        <scheme val="minor"/>
      </rPr>
      <t>歲未滿</t>
    </r>
    <r>
      <rPr>
        <sz val="12"/>
        <rFont val="Times New Roman"/>
        <family val="1"/>
      </rPr>
      <t xml:space="preserve">      </t>
    </r>
    <phoneticPr fontId="5" type="noConversion"/>
  </si>
  <si>
    <r>
      <t>18</t>
    </r>
    <r>
      <rPr>
        <sz val="12"/>
        <color theme="1"/>
        <rFont val="新細明體"/>
        <family val="2"/>
        <charset val="136"/>
        <scheme val="minor"/>
      </rPr>
      <t>歲以上</t>
    </r>
    <r>
      <rPr>
        <sz val="12"/>
        <rFont val="Times New Roman"/>
        <family val="1"/>
      </rPr>
      <t xml:space="preserve">  </t>
    </r>
    <phoneticPr fontId="18" type="noConversion"/>
  </si>
  <si>
    <r>
      <rPr>
        <sz val="12"/>
        <color theme="1"/>
        <rFont val="新細明體"/>
        <family val="2"/>
        <charset val="136"/>
        <scheme val="minor"/>
      </rPr>
      <t>男</t>
    </r>
    <phoneticPr fontId="18" type="noConversion"/>
  </si>
  <si>
    <r>
      <rPr>
        <sz val="12"/>
        <color theme="1"/>
        <rFont val="新細明體"/>
        <family val="2"/>
        <charset val="136"/>
        <scheme val="minor"/>
      </rPr>
      <t>女</t>
    </r>
    <phoneticPr fontId="18" type="noConversion"/>
  </si>
  <si>
    <r>
      <rPr>
        <sz val="12"/>
        <color theme="1"/>
        <rFont val="新細明體"/>
        <family val="2"/>
        <charset val="136"/>
        <scheme val="minor"/>
      </rPr>
      <t>計</t>
    </r>
    <phoneticPr fontId="18" type="noConversion"/>
  </si>
  <si>
    <r>
      <rPr>
        <sz val="12"/>
        <color theme="1"/>
        <rFont val="新細明體"/>
        <family val="2"/>
        <charset val="136"/>
        <scheme val="minor"/>
      </rPr>
      <t>人</t>
    </r>
    <phoneticPr fontId="18" type="noConversion"/>
  </si>
  <si>
    <t xml:space="preserve">高中(職)     </t>
  </si>
  <si>
    <t xml:space="preserve">國中       </t>
  </si>
  <si>
    <t xml:space="preserve">國小         </t>
  </si>
  <si>
    <t xml:space="preserve">大專以上    </t>
  </si>
  <si>
    <t>不識字</t>
  </si>
  <si>
    <t>自修</t>
  </si>
  <si>
    <r>
      <rPr>
        <sz val="12"/>
        <color theme="1"/>
        <rFont val="新細明體"/>
        <family val="2"/>
        <charset val="136"/>
        <scheme val="minor"/>
      </rPr>
      <t>不詳</t>
    </r>
    <phoneticPr fontId="18" type="noConversion"/>
  </si>
  <si>
    <r>
      <rPr>
        <sz val="15"/>
        <color theme="1"/>
        <rFont val="新細明體"/>
        <family val="1"/>
        <charset val="136"/>
      </rPr>
      <t>表</t>
    </r>
    <r>
      <rPr>
        <sz val="15"/>
        <color theme="1"/>
        <rFont val="Times New Roman"/>
        <family val="1"/>
      </rPr>
      <t xml:space="preserve"> 3-3-4</t>
    </r>
    <r>
      <rPr>
        <sz val="15"/>
        <color theme="1"/>
        <rFont val="新細明體"/>
        <family val="1"/>
        <charset val="136"/>
      </rPr>
      <t>　近</t>
    </r>
    <r>
      <rPr>
        <sz val="15"/>
        <color theme="1"/>
        <rFont val="Times New Roman"/>
        <family val="1"/>
      </rPr>
      <t>5</t>
    </r>
    <r>
      <rPr>
        <sz val="15"/>
        <color theme="1"/>
        <rFont val="新細明體"/>
        <family val="1"/>
        <charset val="136"/>
      </rPr>
      <t>年少年觀護所新入所收容</t>
    </r>
    <r>
      <rPr>
        <sz val="15"/>
        <color theme="1"/>
        <rFont val="Times New Roman"/>
        <family val="1"/>
      </rPr>
      <t>/</t>
    </r>
    <r>
      <rPr>
        <sz val="15"/>
        <color theme="1"/>
        <rFont val="新細明體"/>
        <family val="1"/>
        <charset val="136"/>
      </rPr>
      <t>羈押少年之性別與家庭經濟狀況</t>
    </r>
    <phoneticPr fontId="18" type="noConversion"/>
  </si>
  <si>
    <r>
      <t>106</t>
    </r>
    <r>
      <rPr>
        <sz val="12"/>
        <color theme="1"/>
        <rFont val="新細明體"/>
        <family val="2"/>
        <charset val="136"/>
        <scheme val="minor"/>
      </rPr>
      <t>年</t>
    </r>
    <phoneticPr fontId="18" type="noConversion"/>
  </si>
  <si>
    <r>
      <rPr>
        <sz val="12"/>
        <color theme="1"/>
        <rFont val="新細明體"/>
        <family val="2"/>
        <charset val="136"/>
        <scheme val="minor"/>
      </rPr>
      <t>人</t>
    </r>
    <phoneticPr fontId="18" type="noConversion"/>
  </si>
  <si>
    <r>
      <rPr>
        <sz val="12"/>
        <color theme="1"/>
        <rFont val="新細明體"/>
        <family val="2"/>
        <charset val="136"/>
        <scheme val="minor"/>
      </rPr>
      <t>人</t>
    </r>
    <phoneticPr fontId="18" type="noConversion"/>
  </si>
  <si>
    <r>
      <rPr>
        <sz val="12"/>
        <color theme="1"/>
        <rFont val="新細明體"/>
        <family val="2"/>
        <charset val="136"/>
        <scheme val="minor"/>
      </rPr>
      <t>女</t>
    </r>
    <phoneticPr fontId="18" type="noConversion"/>
  </si>
  <si>
    <r>
      <rPr>
        <sz val="12"/>
        <color theme="1"/>
        <rFont val="新細明體"/>
        <family val="2"/>
        <charset val="136"/>
        <scheme val="minor"/>
      </rPr>
      <t>男</t>
    </r>
    <phoneticPr fontId="18" type="noConversion"/>
  </si>
  <si>
    <t>恐嚇及擄人勒贖罪</t>
  </si>
  <si>
    <t>強盜及海盜罪</t>
  </si>
  <si>
    <t>搶奪罪</t>
  </si>
  <si>
    <t>贓物罪</t>
  </si>
  <si>
    <r>
      <rPr>
        <sz val="10"/>
        <rFont val="新細明體"/>
        <family val="1"/>
        <charset val="136"/>
      </rPr>
      <t>說　　明：</t>
    </r>
    <r>
      <rPr>
        <sz val="10"/>
        <rFont val="Times New Roman"/>
        <family val="1"/>
      </rPr>
      <t xml:space="preserve">1. </t>
    </r>
    <r>
      <rPr>
        <sz val="10"/>
        <rFont val="新細明體"/>
        <family val="1"/>
        <charset val="136"/>
      </rPr>
      <t>本表不含待執行感化教育、留置觀察及保護管束之少年人數。</t>
    </r>
    <phoneticPr fontId="18" type="noConversion"/>
  </si>
  <si>
    <r>
      <rPr>
        <sz val="10"/>
        <rFont val="新細明體"/>
        <family val="1"/>
        <charset val="136"/>
      </rPr>
      <t>　　　　　</t>
    </r>
    <r>
      <rPr>
        <sz val="10"/>
        <rFont val="Times New Roman"/>
        <family val="1"/>
      </rPr>
      <t xml:space="preserve">2. </t>
    </r>
    <r>
      <rPr>
        <sz val="10"/>
        <rFont val="新細明體"/>
        <family val="1"/>
        <charset val="136"/>
      </rPr>
      <t>因應少年事件處理法部分條文修正，原虞犯行為停止適用，改為曝險行為。</t>
    </r>
    <phoneticPr fontId="18" type="noConversion"/>
  </si>
  <si>
    <r>
      <rPr>
        <sz val="15"/>
        <rFont val="新細明體"/>
        <family val="1"/>
        <charset val="136"/>
      </rPr>
      <t>表</t>
    </r>
    <r>
      <rPr>
        <sz val="15"/>
        <rFont val="Times New Roman"/>
        <family val="1"/>
      </rPr>
      <t xml:space="preserve"> 3-3-6</t>
    </r>
    <r>
      <rPr>
        <sz val="15"/>
        <rFont val="新細明體"/>
        <family val="1"/>
        <charset val="136"/>
      </rPr>
      <t>　近</t>
    </r>
    <r>
      <rPr>
        <sz val="15"/>
        <rFont val="Times New Roman"/>
        <family val="1"/>
      </rPr>
      <t>5</t>
    </r>
    <r>
      <rPr>
        <sz val="15"/>
        <rFont val="新細明體"/>
        <family val="1"/>
        <charset val="136"/>
      </rPr>
      <t>年少年矯正學校新入</t>
    </r>
    <r>
      <rPr>
        <sz val="15"/>
        <rFont val="新細明體"/>
        <family val="1"/>
        <charset val="136"/>
      </rPr>
      <t>校受感化教育學生之性別</t>
    </r>
    <phoneticPr fontId="18" type="noConversion"/>
  </si>
  <si>
    <r>
      <rPr>
        <sz val="12"/>
        <color theme="1"/>
        <rFont val="新細明體"/>
        <family val="2"/>
        <charset val="136"/>
        <scheme val="minor"/>
      </rPr>
      <t>計</t>
    </r>
    <phoneticPr fontId="18" type="noConversion"/>
  </si>
  <si>
    <r>
      <rPr>
        <sz val="12"/>
        <color theme="1"/>
        <rFont val="新細明體"/>
        <family val="2"/>
        <charset val="136"/>
        <scheme val="minor"/>
      </rPr>
      <t>男</t>
    </r>
    <phoneticPr fontId="18" type="noConversion"/>
  </si>
  <si>
    <r>
      <rPr>
        <sz val="12"/>
        <color theme="1"/>
        <rFont val="新細明體"/>
        <family val="2"/>
        <charset val="136"/>
        <scheme val="minor"/>
      </rPr>
      <t>女</t>
    </r>
    <phoneticPr fontId="18" type="noConversion"/>
  </si>
  <si>
    <r>
      <rPr>
        <sz val="12"/>
        <color theme="1"/>
        <rFont val="新細明體"/>
        <family val="2"/>
        <charset val="136"/>
        <scheme val="minor"/>
      </rPr>
      <t>人</t>
    </r>
    <phoneticPr fontId="18" type="noConversion"/>
  </si>
  <si>
    <t>勵志中學</t>
  </si>
  <si>
    <t>敦品中學</t>
  </si>
  <si>
    <t>誠正中學</t>
  </si>
  <si>
    <r>
      <rPr>
        <sz val="11"/>
        <rFont val="細明體"/>
        <family val="3"/>
        <charset val="136"/>
      </rPr>
      <t>說　　明：</t>
    </r>
    <r>
      <rPr>
        <sz val="11"/>
        <rFont val="Times New Roman"/>
        <family val="1"/>
      </rPr>
      <t>1.</t>
    </r>
    <r>
      <rPr>
        <sz val="11"/>
        <rFont val="細明體"/>
        <family val="3"/>
        <charset val="136"/>
      </rPr>
      <t>因少年輔育院自</t>
    </r>
    <r>
      <rPr>
        <sz val="11"/>
        <rFont val="Times New Roman"/>
        <family val="1"/>
      </rPr>
      <t>110</t>
    </r>
    <r>
      <rPr>
        <sz val="11"/>
        <rFont val="細明體"/>
        <family val="3"/>
        <charset val="136"/>
      </rPr>
      <t>年</t>
    </r>
    <r>
      <rPr>
        <sz val="11"/>
        <rFont val="Times New Roman"/>
        <family val="1"/>
      </rPr>
      <t>8</t>
    </r>
    <r>
      <rPr>
        <sz val="11"/>
        <rFont val="細明體"/>
        <family val="3"/>
        <charset val="136"/>
      </rPr>
      <t>月後更名為矯正學校，爰整併本表少年輔育院、少年矯正學校用語為「少年矯正學校」。
　　　　　</t>
    </r>
    <r>
      <rPr>
        <sz val="11"/>
        <rFont val="Times New Roman"/>
        <family val="1"/>
      </rPr>
      <t>2.110</t>
    </r>
    <r>
      <rPr>
        <sz val="11"/>
        <rFont val="細明體"/>
        <family val="3"/>
        <charset val="136"/>
      </rPr>
      <t>年</t>
    </r>
    <r>
      <rPr>
        <sz val="11"/>
        <rFont val="Times New Roman"/>
        <family val="1"/>
      </rPr>
      <t>8</t>
    </r>
    <r>
      <rPr>
        <sz val="11"/>
        <rFont val="細明體"/>
        <family val="3"/>
        <charset val="136"/>
      </rPr>
      <t>月</t>
    </r>
    <r>
      <rPr>
        <sz val="11"/>
        <rFont val="Times New Roman"/>
        <family val="1"/>
      </rPr>
      <t>1</t>
    </r>
    <r>
      <rPr>
        <sz val="11"/>
        <rFont val="細明體"/>
        <family val="3"/>
        <charset val="136"/>
      </rPr>
      <t>日起，桃園少年輔育院及彰化少年輔育院改制為敦品中學及勵志中學。本表含改制前之桃園少年輔育院及彰化少年輔育院收容受感化教育學生。</t>
    </r>
    <phoneticPr fontId="5" type="noConversion"/>
  </si>
  <si>
    <r>
      <rPr>
        <sz val="15"/>
        <rFont val="新細明體"/>
        <family val="1"/>
        <charset val="136"/>
      </rPr>
      <t>表</t>
    </r>
    <r>
      <rPr>
        <sz val="15"/>
        <rFont val="Times New Roman"/>
        <family val="1"/>
      </rPr>
      <t xml:space="preserve"> 3-3-7</t>
    </r>
    <r>
      <rPr>
        <sz val="15"/>
        <rFont val="新細明體"/>
        <family val="1"/>
        <charset val="136"/>
      </rPr>
      <t>　近</t>
    </r>
    <r>
      <rPr>
        <sz val="15"/>
        <rFont val="Times New Roman"/>
        <family val="1"/>
      </rPr>
      <t>5</t>
    </r>
    <r>
      <rPr>
        <sz val="15"/>
        <rFont val="新細明體"/>
        <family val="1"/>
        <charset val="136"/>
      </rPr>
      <t>年少年矯正學校實際出校的感化教育學生之性別</t>
    </r>
    <phoneticPr fontId="5" type="noConversion"/>
  </si>
  <si>
    <r>
      <t>106</t>
    </r>
    <r>
      <rPr>
        <sz val="12"/>
        <color theme="1"/>
        <rFont val="新細明體"/>
        <family val="2"/>
        <charset val="136"/>
        <scheme val="minor"/>
      </rPr>
      <t>年</t>
    </r>
    <phoneticPr fontId="18" type="noConversion"/>
  </si>
  <si>
    <r>
      <rPr>
        <sz val="12"/>
        <color theme="1"/>
        <rFont val="新細明體"/>
        <family val="2"/>
        <charset val="136"/>
        <scheme val="minor"/>
      </rPr>
      <t>計</t>
    </r>
    <phoneticPr fontId="18" type="noConversion"/>
  </si>
  <si>
    <r>
      <rPr>
        <sz val="12"/>
        <color theme="1"/>
        <rFont val="新細明體"/>
        <family val="2"/>
        <charset val="136"/>
        <scheme val="minor"/>
      </rPr>
      <t>男</t>
    </r>
    <phoneticPr fontId="18" type="noConversion"/>
  </si>
  <si>
    <r>
      <rPr>
        <sz val="12"/>
        <color theme="1"/>
        <rFont val="新細明體"/>
        <family val="2"/>
        <charset val="136"/>
        <scheme val="minor"/>
      </rPr>
      <t>女</t>
    </r>
    <phoneticPr fontId="18" type="noConversion"/>
  </si>
  <si>
    <r>
      <rPr>
        <sz val="10"/>
        <rFont val="新細明體"/>
        <family val="1"/>
        <charset val="136"/>
      </rPr>
      <t>說　　明：</t>
    </r>
    <r>
      <rPr>
        <sz val="10"/>
        <rFont val="Times New Roman"/>
        <family val="1"/>
      </rPr>
      <t>1.</t>
    </r>
    <r>
      <rPr>
        <sz val="10"/>
        <rFont val="新細明體"/>
        <family val="1"/>
        <charset val="136"/>
      </rPr>
      <t>實際出院</t>
    </r>
    <r>
      <rPr>
        <sz val="10"/>
        <rFont val="Times New Roman"/>
        <family val="1"/>
      </rPr>
      <t>(</t>
    </r>
    <r>
      <rPr>
        <sz val="10"/>
        <rFont val="新細明體"/>
        <family val="1"/>
        <charset val="136"/>
      </rPr>
      <t>校</t>
    </r>
    <r>
      <rPr>
        <sz val="10"/>
        <rFont val="Times New Roman"/>
        <family val="1"/>
      </rPr>
      <t>)</t>
    </r>
    <r>
      <rPr>
        <sz val="10"/>
        <rFont val="新細明體"/>
        <family val="1"/>
        <charset val="136"/>
      </rPr>
      <t>人數含期滿出院</t>
    </r>
    <r>
      <rPr>
        <sz val="10"/>
        <rFont val="Times New Roman"/>
        <family val="1"/>
      </rPr>
      <t>(</t>
    </r>
    <r>
      <rPr>
        <sz val="10"/>
        <rFont val="新細明體"/>
        <family val="1"/>
        <charset val="136"/>
      </rPr>
      <t>校</t>
    </r>
    <r>
      <rPr>
        <sz val="10"/>
        <rFont val="Times New Roman"/>
        <family val="1"/>
      </rPr>
      <t>)</t>
    </r>
    <r>
      <rPr>
        <sz val="10"/>
        <rFont val="新細明體"/>
        <family val="1"/>
        <charset val="136"/>
      </rPr>
      <t>、免除執行、停止執行、終止執行者。
　　　　　</t>
    </r>
    <r>
      <rPr>
        <sz val="10"/>
        <rFont val="Times New Roman"/>
        <family val="1"/>
      </rPr>
      <t>2.</t>
    </r>
    <r>
      <rPr>
        <sz val="10"/>
        <rFont val="新細明體"/>
        <family val="1"/>
        <charset val="136"/>
      </rPr>
      <t>因少年輔育院自</t>
    </r>
    <r>
      <rPr>
        <sz val="10"/>
        <rFont val="Times New Roman"/>
        <family val="1"/>
      </rPr>
      <t>110</t>
    </r>
    <r>
      <rPr>
        <sz val="10"/>
        <rFont val="新細明體"/>
        <family val="1"/>
        <charset val="136"/>
      </rPr>
      <t>年</t>
    </r>
    <r>
      <rPr>
        <sz val="10"/>
        <rFont val="Times New Roman"/>
        <family val="1"/>
      </rPr>
      <t>8</t>
    </r>
    <r>
      <rPr>
        <sz val="10"/>
        <rFont val="新細明體"/>
        <family val="1"/>
        <charset val="136"/>
      </rPr>
      <t>月後更名為矯正學校，爰整併本表少年輔育院、少年矯正學校用語為「少年矯正學校」。
　　　　　</t>
    </r>
    <r>
      <rPr>
        <sz val="10"/>
        <rFont val="Times New Roman"/>
        <family val="1"/>
      </rPr>
      <t>3.110</t>
    </r>
    <r>
      <rPr>
        <sz val="10"/>
        <rFont val="新細明體"/>
        <family val="1"/>
        <charset val="136"/>
      </rPr>
      <t>年</t>
    </r>
    <r>
      <rPr>
        <sz val="10"/>
        <rFont val="Times New Roman"/>
        <family val="1"/>
      </rPr>
      <t>8</t>
    </r>
    <r>
      <rPr>
        <sz val="10"/>
        <rFont val="新細明體"/>
        <family val="1"/>
        <charset val="136"/>
      </rPr>
      <t>月</t>
    </r>
    <r>
      <rPr>
        <sz val="10"/>
        <rFont val="Times New Roman"/>
        <family val="1"/>
      </rPr>
      <t>1</t>
    </r>
    <r>
      <rPr>
        <sz val="10"/>
        <rFont val="新細明體"/>
        <family val="1"/>
        <charset val="136"/>
      </rPr>
      <t>日起，桃園少年輔育院及彰化少年輔育院改制為敦品中學及勵志中學。本表含改制前之桃園少年輔育院及彰化少年輔育院收容受感化教育學生。</t>
    </r>
    <phoneticPr fontId="5" type="noConversion"/>
  </si>
  <si>
    <r>
      <rPr>
        <sz val="12"/>
        <color theme="1"/>
        <rFont val="新細明體"/>
        <family val="2"/>
        <charset val="136"/>
        <scheme val="minor"/>
      </rPr>
      <t>女</t>
    </r>
    <phoneticPr fontId="18" type="noConversion"/>
  </si>
  <si>
    <r>
      <rPr>
        <sz val="12"/>
        <color theme="1"/>
        <rFont val="新細明體"/>
        <family val="2"/>
        <charset val="136"/>
        <scheme val="minor"/>
      </rPr>
      <t>計</t>
    </r>
    <phoneticPr fontId="18" type="noConversion"/>
  </si>
  <si>
    <r>
      <t>12</t>
    </r>
    <r>
      <rPr>
        <sz val="12"/>
        <color theme="1"/>
        <rFont val="新細明體"/>
        <family val="2"/>
        <charset val="136"/>
        <scheme val="minor"/>
      </rPr>
      <t>歲未滿</t>
    </r>
    <phoneticPr fontId="18" type="noConversion"/>
  </si>
  <si>
    <r>
      <rPr>
        <sz val="12"/>
        <color theme="1"/>
        <rFont val="新細明體"/>
        <family val="2"/>
        <charset val="136"/>
        <scheme val="minor"/>
      </rPr>
      <t>人</t>
    </r>
    <phoneticPr fontId="18" type="noConversion"/>
  </si>
  <si>
    <r>
      <t>12</t>
    </r>
    <r>
      <rPr>
        <sz val="12"/>
        <color theme="1"/>
        <rFont val="新細明體"/>
        <family val="2"/>
        <charset val="136"/>
        <scheme val="minor"/>
      </rPr>
      <t>歲以上</t>
    </r>
    <r>
      <rPr>
        <sz val="12"/>
        <rFont val="Times New Roman"/>
        <family val="1"/>
      </rPr>
      <t>13</t>
    </r>
    <r>
      <rPr>
        <sz val="12"/>
        <color theme="1"/>
        <rFont val="新細明體"/>
        <family val="2"/>
        <charset val="136"/>
        <scheme val="minor"/>
      </rPr>
      <t>歲未滿</t>
    </r>
    <r>
      <rPr>
        <sz val="12"/>
        <rFont val="Times New Roman"/>
        <family val="1"/>
      </rPr>
      <t xml:space="preserve">    </t>
    </r>
    <phoneticPr fontId="5" type="noConversion"/>
  </si>
  <si>
    <r>
      <t>14</t>
    </r>
    <r>
      <rPr>
        <sz val="12"/>
        <color theme="1"/>
        <rFont val="新細明體"/>
        <family val="2"/>
        <charset val="136"/>
        <scheme val="minor"/>
      </rPr>
      <t>歲以上</t>
    </r>
    <r>
      <rPr>
        <sz val="12"/>
        <rFont val="Times New Roman"/>
        <family val="1"/>
      </rPr>
      <t>15</t>
    </r>
    <r>
      <rPr>
        <sz val="12"/>
        <color theme="1"/>
        <rFont val="新細明體"/>
        <family val="2"/>
        <charset val="136"/>
        <scheme val="minor"/>
      </rPr>
      <t>歲未滿</t>
    </r>
    <r>
      <rPr>
        <sz val="12"/>
        <rFont val="Times New Roman"/>
        <family val="1"/>
      </rPr>
      <t xml:space="preserve">       </t>
    </r>
    <phoneticPr fontId="5" type="noConversion"/>
  </si>
  <si>
    <r>
      <t>15</t>
    </r>
    <r>
      <rPr>
        <sz val="12"/>
        <color theme="1"/>
        <rFont val="新細明體"/>
        <family val="2"/>
        <charset val="136"/>
        <scheme val="minor"/>
      </rPr>
      <t>歲以上</t>
    </r>
    <r>
      <rPr>
        <sz val="12"/>
        <rFont val="Times New Roman"/>
        <family val="1"/>
      </rPr>
      <t>16</t>
    </r>
    <r>
      <rPr>
        <sz val="12"/>
        <color theme="1"/>
        <rFont val="新細明體"/>
        <family val="2"/>
        <charset val="136"/>
        <scheme val="minor"/>
      </rPr>
      <t>歲未滿</t>
    </r>
    <r>
      <rPr>
        <sz val="12"/>
        <rFont val="Times New Roman"/>
        <family val="1"/>
      </rPr>
      <t xml:space="preserve">    </t>
    </r>
    <phoneticPr fontId="5" type="noConversion"/>
  </si>
  <si>
    <r>
      <t>17</t>
    </r>
    <r>
      <rPr>
        <sz val="12"/>
        <color theme="1"/>
        <rFont val="新細明體"/>
        <family val="2"/>
        <charset val="136"/>
        <scheme val="minor"/>
      </rPr>
      <t>歲以上</t>
    </r>
    <r>
      <rPr>
        <sz val="12"/>
        <rFont val="Times New Roman"/>
        <family val="1"/>
      </rPr>
      <t>18</t>
    </r>
    <r>
      <rPr>
        <sz val="12"/>
        <color theme="1"/>
        <rFont val="新細明體"/>
        <family val="2"/>
        <charset val="136"/>
        <scheme val="minor"/>
      </rPr>
      <t>歲未滿</t>
    </r>
    <r>
      <rPr>
        <sz val="12"/>
        <rFont val="Times New Roman"/>
        <family val="1"/>
      </rPr>
      <t xml:space="preserve">      </t>
    </r>
    <phoneticPr fontId="5" type="noConversion"/>
  </si>
  <si>
    <r>
      <rPr>
        <sz val="10"/>
        <rFont val="細明體"/>
        <family val="3"/>
        <charset val="136"/>
      </rPr>
      <t>說　　明：</t>
    </r>
    <r>
      <rPr>
        <sz val="10"/>
        <rFont val="Times New Roman"/>
        <family val="1"/>
      </rPr>
      <t>1.</t>
    </r>
    <r>
      <rPr>
        <sz val="10"/>
        <rFont val="細明體"/>
        <family val="3"/>
        <charset val="136"/>
      </rPr>
      <t>因少年輔育院自</t>
    </r>
    <r>
      <rPr>
        <sz val="10"/>
        <rFont val="Times New Roman"/>
        <family val="1"/>
      </rPr>
      <t>110</t>
    </r>
    <r>
      <rPr>
        <sz val="10"/>
        <rFont val="細明體"/>
        <family val="3"/>
        <charset val="136"/>
      </rPr>
      <t>年</t>
    </r>
    <r>
      <rPr>
        <sz val="10"/>
        <rFont val="Times New Roman"/>
        <family val="1"/>
      </rPr>
      <t>8</t>
    </r>
    <r>
      <rPr>
        <sz val="10"/>
        <rFont val="細明體"/>
        <family val="3"/>
        <charset val="136"/>
      </rPr>
      <t>月後更名為矯正學校，爰整併本表少年輔育院、少年矯正學校用語為「少年矯正學校」。
　　　　　</t>
    </r>
    <r>
      <rPr>
        <sz val="10"/>
        <rFont val="Times New Roman"/>
        <family val="1"/>
      </rPr>
      <t>2.110</t>
    </r>
    <r>
      <rPr>
        <sz val="10"/>
        <rFont val="細明體"/>
        <family val="3"/>
        <charset val="136"/>
      </rPr>
      <t>年</t>
    </r>
    <r>
      <rPr>
        <sz val="10"/>
        <rFont val="Times New Roman"/>
        <family val="1"/>
      </rPr>
      <t>8</t>
    </r>
    <r>
      <rPr>
        <sz val="10"/>
        <rFont val="細明體"/>
        <family val="3"/>
        <charset val="136"/>
      </rPr>
      <t>月</t>
    </r>
    <r>
      <rPr>
        <sz val="10"/>
        <rFont val="Times New Roman"/>
        <family val="1"/>
      </rPr>
      <t>1</t>
    </r>
    <r>
      <rPr>
        <sz val="10"/>
        <rFont val="細明體"/>
        <family val="3"/>
        <charset val="136"/>
      </rPr>
      <t>日起，桃園少年輔育院及彰化少年輔育院改制為敦品中學及勵志中學。本表含改制前之桃園少年輔育院及彰化少年輔育院收容受感化教育學生。</t>
    </r>
    <phoneticPr fontId="5" type="noConversion"/>
  </si>
  <si>
    <r>
      <t>106</t>
    </r>
    <r>
      <rPr>
        <sz val="12"/>
        <color theme="1"/>
        <rFont val="新細明體"/>
        <family val="2"/>
        <charset val="136"/>
        <scheme val="minor"/>
      </rPr>
      <t>年</t>
    </r>
    <phoneticPr fontId="18" type="noConversion"/>
  </si>
  <si>
    <r>
      <rPr>
        <sz val="12"/>
        <color theme="1"/>
        <rFont val="新細明體"/>
        <family val="2"/>
        <charset val="136"/>
        <scheme val="minor"/>
      </rPr>
      <t>計</t>
    </r>
    <phoneticPr fontId="18" type="noConversion"/>
  </si>
  <si>
    <r>
      <rPr>
        <sz val="12"/>
        <color theme="1"/>
        <rFont val="新細明體"/>
        <family val="2"/>
        <charset val="136"/>
        <scheme val="minor"/>
      </rPr>
      <t>計</t>
    </r>
    <phoneticPr fontId="18" type="noConversion"/>
  </si>
  <si>
    <r>
      <rPr>
        <sz val="12"/>
        <color theme="1"/>
        <rFont val="新細明體"/>
        <family val="2"/>
        <charset val="136"/>
        <scheme val="minor"/>
      </rPr>
      <t>男</t>
    </r>
    <phoneticPr fontId="18" type="noConversion"/>
  </si>
  <si>
    <r>
      <rPr>
        <sz val="12"/>
        <color theme="1"/>
        <rFont val="新細明體"/>
        <family val="2"/>
        <charset val="136"/>
        <scheme val="minor"/>
      </rPr>
      <t>女</t>
    </r>
    <phoneticPr fontId="18" type="noConversion"/>
  </si>
  <si>
    <r>
      <rPr>
        <sz val="12"/>
        <color theme="1"/>
        <rFont val="新細明體"/>
        <family val="2"/>
        <charset val="136"/>
        <scheme val="minor"/>
      </rPr>
      <t>男</t>
    </r>
    <phoneticPr fontId="18" type="noConversion"/>
  </si>
  <si>
    <r>
      <rPr>
        <sz val="12"/>
        <color theme="1"/>
        <rFont val="新細明體"/>
        <family val="2"/>
        <charset val="136"/>
        <scheme val="minor"/>
      </rPr>
      <t>人</t>
    </r>
    <phoneticPr fontId="18" type="noConversion"/>
  </si>
  <si>
    <t>%</t>
    <phoneticPr fontId="18" type="noConversion"/>
  </si>
  <si>
    <r>
      <rPr>
        <sz val="12"/>
        <color theme="1"/>
        <rFont val="新細明體"/>
        <family val="2"/>
        <charset val="136"/>
        <scheme val="minor"/>
      </rPr>
      <t>高中</t>
    </r>
    <phoneticPr fontId="18" type="noConversion"/>
  </si>
  <si>
    <r>
      <rPr>
        <sz val="12"/>
        <color theme="1"/>
        <rFont val="新細明體"/>
        <family val="2"/>
        <charset val="136"/>
        <scheme val="minor"/>
      </rPr>
      <t>國中</t>
    </r>
    <phoneticPr fontId="18" type="noConversion"/>
  </si>
  <si>
    <r>
      <rPr>
        <sz val="12"/>
        <color theme="1"/>
        <rFont val="新細明體"/>
        <family val="2"/>
        <charset val="136"/>
        <scheme val="minor"/>
      </rPr>
      <t>職業學校</t>
    </r>
    <phoneticPr fontId="18" type="noConversion"/>
  </si>
  <si>
    <r>
      <rPr>
        <sz val="12"/>
        <color theme="1"/>
        <rFont val="新細明體"/>
        <family val="2"/>
        <charset val="136"/>
        <scheme val="minor"/>
      </rPr>
      <t>人</t>
    </r>
    <phoneticPr fontId="18" type="noConversion"/>
  </si>
  <si>
    <r>
      <rPr>
        <sz val="12"/>
        <color theme="1"/>
        <rFont val="新細明體"/>
        <family val="2"/>
        <charset val="136"/>
        <scheme val="minor"/>
      </rPr>
      <t>國小</t>
    </r>
    <r>
      <rPr>
        <sz val="12"/>
        <rFont val="Times New Roman"/>
        <family val="1"/>
      </rPr>
      <t xml:space="preserve"> </t>
    </r>
    <phoneticPr fontId="18" type="noConversion"/>
  </si>
  <si>
    <r>
      <rPr>
        <sz val="12"/>
        <color theme="1"/>
        <rFont val="新細明體"/>
        <family val="2"/>
        <charset val="136"/>
        <scheme val="minor"/>
      </rPr>
      <t>不識字</t>
    </r>
    <phoneticPr fontId="18" type="noConversion"/>
  </si>
  <si>
    <t>資料來源：法務部統計處。</t>
    <phoneticPr fontId="5" type="noConversion"/>
  </si>
  <si>
    <r>
      <rPr>
        <sz val="10"/>
        <rFont val="細明體"/>
        <family val="3"/>
        <charset val="136"/>
      </rPr>
      <t>說　　明：</t>
    </r>
    <r>
      <rPr>
        <sz val="10"/>
        <rFont val="Times New Roman"/>
        <family val="1"/>
      </rPr>
      <t>1.</t>
    </r>
    <r>
      <rPr>
        <sz val="10"/>
        <rFont val="細明體"/>
        <family val="3"/>
        <charset val="136"/>
      </rPr>
      <t>因少年輔育院自</t>
    </r>
    <r>
      <rPr>
        <sz val="10"/>
        <rFont val="Times New Roman"/>
        <family val="1"/>
      </rPr>
      <t>110</t>
    </r>
    <r>
      <rPr>
        <sz val="10"/>
        <rFont val="細明體"/>
        <family val="3"/>
        <charset val="136"/>
      </rPr>
      <t>年</t>
    </r>
    <r>
      <rPr>
        <sz val="10"/>
        <rFont val="Times New Roman"/>
        <family val="1"/>
      </rPr>
      <t>8</t>
    </r>
    <r>
      <rPr>
        <sz val="10"/>
        <rFont val="細明體"/>
        <family val="3"/>
        <charset val="136"/>
      </rPr>
      <t>月後更名為矯正學校，爰整併本表少年輔育院、少年矯正學校用語為「少年矯正學校」。
　　　　　</t>
    </r>
    <r>
      <rPr>
        <sz val="10"/>
        <rFont val="Times New Roman"/>
        <family val="1"/>
      </rPr>
      <t>2.110</t>
    </r>
    <r>
      <rPr>
        <sz val="10"/>
        <rFont val="細明體"/>
        <family val="3"/>
        <charset val="136"/>
      </rPr>
      <t>年</t>
    </r>
    <r>
      <rPr>
        <sz val="10"/>
        <rFont val="Times New Roman"/>
        <family val="1"/>
      </rPr>
      <t>8</t>
    </r>
    <r>
      <rPr>
        <sz val="10"/>
        <rFont val="細明體"/>
        <family val="3"/>
        <charset val="136"/>
      </rPr>
      <t>月</t>
    </r>
    <r>
      <rPr>
        <sz val="10"/>
        <rFont val="Times New Roman"/>
        <family val="1"/>
      </rPr>
      <t>1</t>
    </r>
    <r>
      <rPr>
        <sz val="10"/>
        <rFont val="細明體"/>
        <family val="3"/>
        <charset val="136"/>
      </rPr>
      <t>日起，桃園少年輔育院及彰化少年輔育院改制為敦品中學及勵志中學。本表含改制前之桃園少年輔育院及彰化少年輔育院收容受感化教育學生。</t>
    </r>
    <phoneticPr fontId="5" type="noConversion"/>
  </si>
  <si>
    <r>
      <t>106</t>
    </r>
    <r>
      <rPr>
        <sz val="12"/>
        <color theme="1"/>
        <rFont val="新細明體"/>
        <family val="2"/>
        <charset val="136"/>
      </rPr>
      <t>年</t>
    </r>
    <phoneticPr fontId="18" type="noConversion"/>
  </si>
  <si>
    <r>
      <t>107年</t>
    </r>
    <r>
      <rPr>
        <sz val="12"/>
        <color theme="1"/>
        <rFont val="新細明體"/>
        <family val="2"/>
        <charset val="136"/>
      </rPr>
      <t/>
    </r>
  </si>
  <si>
    <r>
      <t>108年</t>
    </r>
    <r>
      <rPr>
        <sz val="12"/>
        <color theme="1"/>
        <rFont val="新細明體"/>
        <family val="2"/>
        <charset val="136"/>
      </rPr>
      <t/>
    </r>
  </si>
  <si>
    <r>
      <t>109年</t>
    </r>
    <r>
      <rPr>
        <sz val="12"/>
        <color theme="1"/>
        <rFont val="新細明體"/>
        <family val="2"/>
        <charset val="136"/>
      </rPr>
      <t/>
    </r>
  </si>
  <si>
    <r>
      <t>110年</t>
    </r>
    <r>
      <rPr>
        <sz val="12"/>
        <color theme="1"/>
        <rFont val="新細明體"/>
        <family val="2"/>
        <charset val="136"/>
      </rPr>
      <t/>
    </r>
  </si>
  <si>
    <r>
      <rPr>
        <sz val="12"/>
        <color theme="1"/>
        <rFont val="新細明體"/>
        <family val="2"/>
        <charset val="136"/>
      </rPr>
      <t>女</t>
    </r>
    <phoneticPr fontId="18" type="noConversion"/>
  </si>
  <si>
    <r>
      <rPr>
        <sz val="12"/>
        <color theme="1"/>
        <rFont val="新細明體"/>
        <family val="2"/>
        <charset val="136"/>
      </rPr>
      <t>計</t>
    </r>
    <phoneticPr fontId="18" type="noConversion"/>
  </si>
  <si>
    <r>
      <rPr>
        <sz val="12"/>
        <color theme="1"/>
        <rFont val="新細明體"/>
        <family val="2"/>
        <charset val="136"/>
      </rPr>
      <t>男</t>
    </r>
    <phoneticPr fontId="18" type="noConversion"/>
  </si>
  <si>
    <r>
      <rPr>
        <sz val="12"/>
        <color theme="1"/>
        <rFont val="新細明體"/>
        <family val="2"/>
        <charset val="136"/>
      </rPr>
      <t>男</t>
    </r>
    <phoneticPr fontId="18" type="noConversion"/>
  </si>
  <si>
    <r>
      <rPr>
        <sz val="12"/>
        <color theme="1"/>
        <rFont val="新細明體"/>
        <family val="2"/>
        <charset val="136"/>
      </rPr>
      <t>計</t>
    </r>
    <phoneticPr fontId="18" type="noConversion"/>
  </si>
  <si>
    <r>
      <rPr>
        <sz val="12"/>
        <color theme="1"/>
        <rFont val="新細明體"/>
        <family val="2"/>
        <charset val="136"/>
      </rPr>
      <t>女</t>
    </r>
    <phoneticPr fontId="18" type="noConversion"/>
  </si>
  <si>
    <r>
      <rPr>
        <sz val="12"/>
        <color theme="1"/>
        <rFont val="新細明體"/>
        <family val="2"/>
        <charset val="136"/>
      </rPr>
      <t>人</t>
    </r>
    <phoneticPr fontId="18" type="noConversion"/>
  </si>
  <si>
    <r>
      <rPr>
        <sz val="12"/>
        <color theme="1"/>
        <rFont val="新細明體"/>
        <family val="2"/>
        <charset val="136"/>
      </rPr>
      <t>普通</t>
    </r>
    <r>
      <rPr>
        <sz val="12"/>
        <rFont val="Times New Roman"/>
        <family val="1"/>
      </rPr>
      <t xml:space="preserve"> </t>
    </r>
    <phoneticPr fontId="18" type="noConversion"/>
  </si>
  <si>
    <r>
      <rPr>
        <sz val="12"/>
        <color theme="1"/>
        <rFont val="新細明體"/>
        <family val="2"/>
        <charset val="136"/>
      </rPr>
      <t>貧困</t>
    </r>
    <phoneticPr fontId="18" type="noConversion"/>
  </si>
  <si>
    <r>
      <rPr>
        <sz val="12"/>
        <color theme="1"/>
        <rFont val="新細明體"/>
        <family val="2"/>
        <charset val="136"/>
      </rPr>
      <t>富裕</t>
    </r>
    <r>
      <rPr>
        <sz val="12"/>
        <rFont val="Times New Roman"/>
        <family val="1"/>
      </rPr>
      <t xml:space="preserve"> </t>
    </r>
    <phoneticPr fontId="18" type="noConversion"/>
  </si>
  <si>
    <r>
      <rPr>
        <sz val="10"/>
        <rFont val="細明體"/>
        <family val="3"/>
        <charset val="136"/>
      </rPr>
      <t>說　　明：</t>
    </r>
    <r>
      <rPr>
        <sz val="10"/>
        <rFont val="Times New Roman"/>
        <family val="1"/>
      </rPr>
      <t>1.</t>
    </r>
    <r>
      <rPr>
        <sz val="10"/>
        <rFont val="細明體"/>
        <family val="3"/>
        <charset val="136"/>
      </rPr>
      <t>因少年輔育院自</t>
    </r>
    <r>
      <rPr>
        <sz val="10"/>
        <rFont val="Times New Roman"/>
        <family val="1"/>
      </rPr>
      <t>110</t>
    </r>
    <r>
      <rPr>
        <sz val="10"/>
        <rFont val="細明體"/>
        <family val="3"/>
        <charset val="136"/>
      </rPr>
      <t>年</t>
    </r>
    <r>
      <rPr>
        <sz val="10"/>
        <rFont val="Times New Roman"/>
        <family val="1"/>
      </rPr>
      <t>8</t>
    </r>
    <r>
      <rPr>
        <sz val="10"/>
        <rFont val="細明體"/>
        <family val="3"/>
        <charset val="136"/>
      </rPr>
      <t>月後更名為矯正學校，爰整併本表少年輔育院、少年矯正學校用語為「少年矯正學校」。
　　　　　</t>
    </r>
    <r>
      <rPr>
        <sz val="10"/>
        <rFont val="Times New Roman"/>
        <family val="1"/>
      </rPr>
      <t>2.110</t>
    </r>
    <r>
      <rPr>
        <sz val="10"/>
        <rFont val="細明體"/>
        <family val="3"/>
        <charset val="136"/>
      </rPr>
      <t>年</t>
    </r>
    <r>
      <rPr>
        <sz val="10"/>
        <rFont val="Times New Roman"/>
        <family val="1"/>
      </rPr>
      <t>8</t>
    </r>
    <r>
      <rPr>
        <sz val="10"/>
        <rFont val="細明體"/>
        <family val="3"/>
        <charset val="136"/>
      </rPr>
      <t>月</t>
    </r>
    <r>
      <rPr>
        <sz val="10"/>
        <rFont val="Times New Roman"/>
        <family val="1"/>
      </rPr>
      <t>1</t>
    </r>
    <r>
      <rPr>
        <sz val="10"/>
        <rFont val="細明體"/>
        <family val="3"/>
        <charset val="136"/>
      </rPr>
      <t>日起，桃園少年輔育院及彰化少年輔育院改制為敦品中學及勵志中學。本表含改制前之桃園少年輔育院及彰化少年輔育院收容受感化教育學生。</t>
    </r>
    <phoneticPr fontId="5" type="noConversion"/>
  </si>
  <si>
    <r>
      <t>106</t>
    </r>
    <r>
      <rPr>
        <sz val="12"/>
        <color theme="1"/>
        <rFont val="新細明體"/>
        <family val="2"/>
        <charset val="136"/>
      </rPr>
      <t>年</t>
    </r>
    <phoneticPr fontId="18" type="noConversion"/>
  </si>
  <si>
    <r>
      <rPr>
        <sz val="12"/>
        <color theme="1"/>
        <rFont val="新細明體"/>
        <family val="2"/>
        <charset val="136"/>
      </rPr>
      <t>計</t>
    </r>
    <phoneticPr fontId="18" type="noConversion"/>
  </si>
  <si>
    <r>
      <rPr>
        <sz val="12"/>
        <color theme="1"/>
        <rFont val="新細明體"/>
        <family val="2"/>
        <charset val="136"/>
      </rPr>
      <t>計</t>
    </r>
    <phoneticPr fontId="18" type="noConversion"/>
  </si>
  <si>
    <r>
      <rPr>
        <sz val="12"/>
        <color theme="1"/>
        <rFont val="新細明體"/>
        <family val="2"/>
        <charset val="136"/>
      </rPr>
      <t>總計</t>
    </r>
    <r>
      <rPr>
        <sz val="12"/>
        <rFont val="Times New Roman"/>
        <family val="1"/>
      </rPr>
      <t xml:space="preserve">               </t>
    </r>
    <phoneticPr fontId="18" type="noConversion"/>
  </si>
  <si>
    <t xml:space="preserve">詐欺罪            </t>
  </si>
  <si>
    <t xml:space="preserve">傷害罪            </t>
  </si>
  <si>
    <t xml:space="preserve">毒品危害防制條例          </t>
  </si>
  <si>
    <t xml:space="preserve">竊盜罪             </t>
  </si>
  <si>
    <t xml:space="preserve">恐嚇取財得利罪                </t>
  </si>
  <si>
    <t xml:space="preserve">妨害自由罪             </t>
  </si>
  <si>
    <t xml:space="preserve">殺人罪             </t>
  </si>
  <si>
    <t xml:space="preserve">搶奪罪            </t>
  </si>
  <si>
    <t xml:space="preserve">槍砲彈藥刀械管制條例   </t>
  </si>
  <si>
    <t>妨害風化罪</t>
  </si>
  <si>
    <t xml:space="preserve">強盜及海盜罪                 </t>
  </si>
  <si>
    <r>
      <rPr>
        <sz val="12"/>
        <color theme="1"/>
        <rFont val="新細明體"/>
        <family val="2"/>
        <charset val="136"/>
      </rPr>
      <t>曝險行為</t>
    </r>
    <phoneticPr fontId="18" type="noConversion"/>
  </si>
  <si>
    <r>
      <rPr>
        <sz val="10"/>
        <rFont val="新細明體"/>
        <family val="1"/>
        <charset val="136"/>
      </rPr>
      <t>說　　明：</t>
    </r>
    <r>
      <rPr>
        <sz val="10"/>
        <rFont val="Times New Roman"/>
        <family val="1"/>
      </rPr>
      <t>1.</t>
    </r>
    <r>
      <rPr>
        <sz val="10"/>
        <rFont val="新細明體"/>
        <family val="1"/>
        <charset val="136"/>
      </rPr>
      <t>因應少年事件處理法部分條文修正，原虞犯行為停止適用，改為曝險行為。
　　　　　</t>
    </r>
    <r>
      <rPr>
        <sz val="10"/>
        <rFont val="Times New Roman"/>
        <family val="1"/>
      </rPr>
      <t>2.</t>
    </r>
    <r>
      <rPr>
        <sz val="10"/>
        <rFont val="新細明體"/>
        <family val="1"/>
        <charset val="136"/>
      </rPr>
      <t>因少年輔育院自</t>
    </r>
    <r>
      <rPr>
        <sz val="10"/>
        <rFont val="Times New Roman"/>
        <family val="1"/>
      </rPr>
      <t>110</t>
    </r>
    <r>
      <rPr>
        <sz val="10"/>
        <rFont val="新細明體"/>
        <family val="1"/>
        <charset val="136"/>
      </rPr>
      <t>年</t>
    </r>
    <r>
      <rPr>
        <sz val="10"/>
        <rFont val="Times New Roman"/>
        <family val="1"/>
      </rPr>
      <t>8</t>
    </r>
    <r>
      <rPr>
        <sz val="10"/>
        <rFont val="新細明體"/>
        <family val="1"/>
        <charset val="136"/>
      </rPr>
      <t>月後更名為矯正學校，爰整併本表少年輔育院、少年矯正學校用語為「少年矯正學校」。
　　　　　</t>
    </r>
    <r>
      <rPr>
        <sz val="10"/>
        <rFont val="Times New Roman"/>
        <family val="1"/>
      </rPr>
      <t>3.110</t>
    </r>
    <r>
      <rPr>
        <sz val="10"/>
        <rFont val="新細明體"/>
        <family val="1"/>
        <charset val="136"/>
      </rPr>
      <t>年</t>
    </r>
    <r>
      <rPr>
        <sz val="10"/>
        <rFont val="Times New Roman"/>
        <family val="1"/>
      </rPr>
      <t>8</t>
    </r>
    <r>
      <rPr>
        <sz val="10"/>
        <rFont val="新細明體"/>
        <family val="1"/>
        <charset val="136"/>
      </rPr>
      <t>月</t>
    </r>
    <r>
      <rPr>
        <sz val="10"/>
        <rFont val="Times New Roman"/>
        <family val="1"/>
      </rPr>
      <t>1</t>
    </r>
    <r>
      <rPr>
        <sz val="10"/>
        <rFont val="新細明體"/>
        <family val="1"/>
        <charset val="136"/>
      </rPr>
      <t>日起，桃園少年輔育院及彰化少年輔育院改制為敦品中學及勵志中學。本表含改制前之桃園少年輔育院及彰化少年輔育院收容受感化教育學生。</t>
    </r>
    <phoneticPr fontId="18" type="noConversion"/>
  </si>
  <si>
    <r>
      <rPr>
        <sz val="15"/>
        <color theme="1"/>
        <rFont val="新細明體"/>
        <family val="1"/>
        <charset val="136"/>
      </rPr>
      <t>表</t>
    </r>
    <r>
      <rPr>
        <sz val="15"/>
        <color theme="1"/>
        <rFont val="Times New Roman"/>
        <family val="1"/>
      </rPr>
      <t>3-3-12</t>
    </r>
    <r>
      <rPr>
        <sz val="15"/>
        <color theme="1"/>
        <rFont val="新細明體"/>
        <family val="1"/>
        <charset val="136"/>
      </rPr>
      <t>　近</t>
    </r>
    <r>
      <rPr>
        <sz val="15"/>
        <color theme="1"/>
        <rFont val="Times New Roman"/>
        <family val="1"/>
      </rPr>
      <t>5</t>
    </r>
    <r>
      <rPr>
        <sz val="15"/>
        <color theme="1"/>
        <rFont val="新細明體"/>
        <family val="1"/>
        <charset val="136"/>
      </rPr>
      <t>年明陽中學在校少年受刑人之性別</t>
    </r>
    <phoneticPr fontId="18" type="noConversion"/>
  </si>
  <si>
    <r>
      <t>106</t>
    </r>
    <r>
      <rPr>
        <sz val="12"/>
        <color theme="1"/>
        <rFont val="新細明體"/>
        <family val="2"/>
        <charset val="136"/>
        <scheme val="minor"/>
      </rPr>
      <t>年底</t>
    </r>
    <phoneticPr fontId="18" type="noConversion"/>
  </si>
  <si>
    <r>
      <t>107年底</t>
    </r>
    <r>
      <rPr>
        <sz val="12"/>
        <color theme="1"/>
        <rFont val="新細明體"/>
        <family val="2"/>
        <charset val="136"/>
        <scheme val="minor"/>
      </rPr>
      <t/>
    </r>
  </si>
  <si>
    <r>
      <t>108年底</t>
    </r>
    <r>
      <rPr>
        <sz val="12"/>
        <color theme="1"/>
        <rFont val="新細明體"/>
        <family val="2"/>
        <charset val="136"/>
        <scheme val="minor"/>
      </rPr>
      <t/>
    </r>
  </si>
  <si>
    <r>
      <t>109年底</t>
    </r>
    <r>
      <rPr>
        <sz val="12"/>
        <color theme="1"/>
        <rFont val="新細明體"/>
        <family val="2"/>
        <charset val="136"/>
        <scheme val="minor"/>
      </rPr>
      <t/>
    </r>
  </si>
  <si>
    <r>
      <t>110年底</t>
    </r>
    <r>
      <rPr>
        <sz val="12"/>
        <color theme="1"/>
        <rFont val="新細明體"/>
        <family val="2"/>
        <charset val="136"/>
        <scheme val="minor"/>
      </rPr>
      <t/>
    </r>
  </si>
  <si>
    <r>
      <rPr>
        <sz val="10"/>
        <color theme="1"/>
        <rFont val="新細明體"/>
        <family val="1"/>
        <charset val="136"/>
      </rPr>
      <t>說　　明：</t>
    </r>
    <r>
      <rPr>
        <sz val="10"/>
        <color theme="1"/>
        <rFont val="Times New Roman"/>
        <family val="1"/>
      </rPr>
      <t xml:space="preserve">1. </t>
    </r>
    <r>
      <rPr>
        <sz val="10"/>
        <color theme="1"/>
        <rFont val="新細明體"/>
        <family val="1"/>
        <charset val="136"/>
      </rPr>
      <t>少年指</t>
    </r>
    <r>
      <rPr>
        <sz val="10"/>
        <color theme="1"/>
        <rFont val="Times New Roman"/>
        <family val="1"/>
      </rPr>
      <t>12</t>
    </r>
    <r>
      <rPr>
        <sz val="10"/>
        <color theme="1"/>
        <rFont val="新細明體"/>
        <family val="1"/>
        <charset val="136"/>
      </rPr>
      <t>歲以上</t>
    </r>
    <r>
      <rPr>
        <sz val="10"/>
        <color theme="1"/>
        <rFont val="Times New Roman"/>
        <family val="1"/>
      </rPr>
      <t>18</t>
    </r>
    <r>
      <rPr>
        <sz val="10"/>
        <color theme="1"/>
        <rFont val="新細明體"/>
        <family val="1"/>
        <charset val="136"/>
      </rPr>
      <t>歲未滿之人。
　　　　　</t>
    </r>
    <r>
      <rPr>
        <sz val="10"/>
        <color theme="1"/>
        <rFont val="Times New Roman"/>
        <family val="1"/>
      </rPr>
      <t xml:space="preserve">2. </t>
    </r>
    <r>
      <rPr>
        <sz val="10"/>
        <color theme="1"/>
        <rFont val="新細明體"/>
        <family val="1"/>
        <charset val="136"/>
      </rPr>
      <t>犯罪人口率</t>
    </r>
    <r>
      <rPr>
        <sz val="10"/>
        <color theme="1"/>
        <rFont val="Times New Roman"/>
        <family val="1"/>
      </rPr>
      <t>= (</t>
    </r>
    <r>
      <rPr>
        <sz val="10"/>
        <color theme="1"/>
        <rFont val="新細明體"/>
        <family val="1"/>
        <charset val="136"/>
      </rPr>
      <t>犯罪嫌疑人數</t>
    </r>
    <r>
      <rPr>
        <sz val="10"/>
        <color theme="1"/>
        <rFont val="Times New Roman"/>
        <family val="1"/>
      </rPr>
      <t xml:space="preserve"> / </t>
    </r>
    <r>
      <rPr>
        <sz val="10"/>
        <color theme="1"/>
        <rFont val="新細明體"/>
        <family val="1"/>
        <charset val="136"/>
      </rPr>
      <t>年中人口數</t>
    </r>
    <r>
      <rPr>
        <sz val="10"/>
        <color theme="1"/>
        <rFont val="Times New Roman"/>
        <family val="1"/>
      </rPr>
      <t>) * 100,000</t>
    </r>
    <r>
      <rPr>
        <sz val="10"/>
        <color theme="1"/>
        <rFont val="新細明體"/>
        <family val="1"/>
        <charset val="136"/>
      </rPr>
      <t>。</t>
    </r>
    <phoneticPr fontId="6" type="noConversion"/>
  </si>
  <si>
    <t>無正當理由經常攜帶刀械者</t>
    <phoneticPr fontId="6" type="noConversion"/>
  </si>
  <si>
    <r>
      <rPr>
        <sz val="12"/>
        <color theme="1"/>
        <rFont val="新細明體"/>
        <family val="2"/>
        <charset val="136"/>
        <scheme val="minor"/>
      </rPr>
      <t>高中(職)肄業</t>
    </r>
    <r>
      <rPr>
        <sz val="12"/>
        <rFont val="Times New Roman"/>
        <family val="1"/>
      </rPr>
      <t/>
    </r>
    <phoneticPr fontId="6" type="noConversion"/>
  </si>
  <si>
    <t>高中(職)畢業</t>
    <phoneticPr fontId="6" type="noConversion"/>
  </si>
  <si>
    <r>
      <rPr>
        <sz val="12"/>
        <color theme="1"/>
        <rFont val="新細明體"/>
        <family val="2"/>
        <charset val="136"/>
        <scheme val="minor"/>
      </rPr>
      <t>高中(職)肄業</t>
    </r>
    <r>
      <rPr>
        <sz val="12"/>
        <rFont val="Times New Roman"/>
        <family val="1"/>
      </rPr>
      <t/>
    </r>
    <phoneticPr fontId="6" type="noConversion"/>
  </si>
  <si>
    <r>
      <rPr>
        <sz val="12"/>
        <color theme="1"/>
        <rFont val="新細明體"/>
        <family val="2"/>
      </rPr>
      <t>高中(職)肄業</t>
    </r>
    <r>
      <rPr>
        <sz val="12"/>
        <rFont val="Times New Roman"/>
        <family val="1"/>
      </rPr>
      <t/>
    </r>
    <phoneticPr fontId="6" type="noConversion"/>
  </si>
  <si>
    <t>高中(職)畢業</t>
    <phoneticPr fontId="6" type="noConversion"/>
  </si>
  <si>
    <r>
      <rPr>
        <sz val="12"/>
        <color theme="1"/>
        <rFont val="新細明體"/>
        <family val="2"/>
      </rPr>
      <t>高中(職)肄業</t>
    </r>
    <r>
      <rPr>
        <sz val="12"/>
        <rFont val="Times New Roman"/>
        <family val="1"/>
      </rPr>
      <t/>
    </r>
    <phoneticPr fontId="6" type="noConversion"/>
  </si>
  <si>
    <t>高中(職)畢業</t>
    <phoneticPr fontId="6" type="noConversion"/>
  </si>
  <si>
    <t>妨害秩序罪</t>
  </si>
  <si>
    <t>兒少性剝削防制條例</t>
  </si>
  <si>
    <t>毀棄損壞罪</t>
  </si>
  <si>
    <t>恐嚇罪</t>
  </si>
  <si>
    <t>妨害名譽及信用罪</t>
  </si>
  <si>
    <t>賭博罪</t>
  </si>
  <si>
    <t>侵占罪</t>
  </si>
  <si>
    <t>洗錢防制法</t>
  </si>
  <si>
    <t>妨害秘密罪</t>
  </si>
  <si>
    <t>妨害公務罪</t>
  </si>
  <si>
    <t>組織犯罪防制條例</t>
  </si>
  <si>
    <t>妨害電腦使用罪</t>
  </si>
  <si>
    <t>妨害婚姻及家庭罪</t>
  </si>
  <si>
    <t>性騷擾防治法</t>
  </si>
  <si>
    <t>藏匿人犯及湮滅證據罪</t>
  </si>
  <si>
    <t>家庭暴力防治法</t>
  </si>
  <si>
    <t>搶奪及海盜罪</t>
  </si>
  <si>
    <t>重利罪</t>
  </si>
  <si>
    <t>誣告罪</t>
  </si>
  <si>
    <t>嚴重特殊傳染性肺炎防治及紓困振興特別條例</t>
  </si>
  <si>
    <t>戶籍法</t>
  </si>
  <si>
    <t>廢棄物清理法</t>
  </si>
  <si>
    <t>背信罪</t>
  </si>
  <si>
    <t>偽造貨幣罪</t>
  </si>
  <si>
    <t>動物保護法</t>
  </si>
  <si>
    <t>脫逃罪</t>
  </si>
  <si>
    <t>野生動物保育法</t>
  </si>
  <si>
    <t>遺棄罪</t>
  </si>
  <si>
    <r>
      <rPr>
        <sz val="15"/>
        <color theme="1"/>
        <rFont val="新細明體"/>
        <family val="1"/>
        <charset val="136"/>
      </rPr>
      <t>表</t>
    </r>
    <r>
      <rPr>
        <sz val="15"/>
        <color theme="1"/>
        <rFont val="Times New Roman"/>
        <family val="1"/>
      </rPr>
      <t>3-2-5</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年觸法少年交付保護處分之罪名</t>
    </r>
    <phoneticPr fontId="6" type="noConversion"/>
  </si>
  <si>
    <r>
      <rPr>
        <sz val="15"/>
        <color theme="1"/>
        <rFont val="新細明體"/>
        <family val="1"/>
        <charset val="136"/>
      </rPr>
      <t>表</t>
    </r>
    <r>
      <rPr>
        <sz val="15"/>
        <color theme="1"/>
        <rFont val="Times New Roman"/>
        <family val="1"/>
      </rPr>
      <t>3-2-6</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年觸法少年交付保護處分之性別與年齡</t>
    </r>
    <phoneticPr fontId="6" type="noConversion"/>
  </si>
  <si>
    <r>
      <rPr>
        <sz val="15"/>
        <color theme="1"/>
        <rFont val="新細明體"/>
        <family val="1"/>
        <charset val="136"/>
      </rPr>
      <t>表</t>
    </r>
    <r>
      <rPr>
        <sz val="15"/>
        <color theme="1"/>
        <rFont val="Times New Roman"/>
        <family val="1"/>
      </rPr>
      <t>3-2-8</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年觸法少年交付保護處分之教育程度</t>
    </r>
    <phoneticPr fontId="6" type="noConversion"/>
  </si>
  <si>
    <r>
      <rPr>
        <sz val="15"/>
        <color theme="1"/>
        <rFont val="新細明體"/>
        <family val="1"/>
        <charset val="136"/>
      </rPr>
      <t>表</t>
    </r>
    <r>
      <rPr>
        <sz val="15"/>
        <color theme="1"/>
        <rFont val="Times New Roman"/>
        <family val="1"/>
      </rPr>
      <t>3-2-9</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年觸法少年交付保護處分之性別與就業情形</t>
    </r>
    <phoneticPr fontId="6" type="noConversion"/>
  </si>
  <si>
    <r>
      <rPr>
        <sz val="15"/>
        <color theme="1"/>
        <rFont val="新細明體"/>
        <family val="1"/>
        <charset val="136"/>
      </rPr>
      <t>表</t>
    </r>
    <r>
      <rPr>
        <sz val="15"/>
        <color theme="1"/>
        <rFont val="Times New Roman"/>
        <family val="1"/>
      </rPr>
      <t>3-2-10</t>
    </r>
    <r>
      <rPr>
        <sz val="15"/>
        <color theme="1"/>
        <rFont val="新細明體"/>
        <family val="1"/>
        <charset val="136"/>
      </rPr>
      <t>　近</t>
    </r>
    <r>
      <rPr>
        <sz val="15"/>
        <color theme="1"/>
        <rFont val="Times New Roman"/>
        <family val="1"/>
      </rPr>
      <t>10</t>
    </r>
    <r>
      <rPr>
        <sz val="15"/>
        <color theme="1"/>
        <rFont val="新細明體"/>
        <family val="1"/>
        <charset val="136"/>
      </rPr>
      <t>年觸法少年交付保護處分之家庭經濟狀況</t>
    </r>
    <phoneticPr fontId="6" type="noConversion"/>
  </si>
  <si>
    <r>
      <rPr>
        <sz val="15"/>
        <color theme="1"/>
        <rFont val="新細明體"/>
        <family val="1"/>
        <charset val="136"/>
      </rPr>
      <t>表</t>
    </r>
    <r>
      <rPr>
        <sz val="15"/>
        <color theme="1"/>
        <rFont val="Times New Roman"/>
        <family val="1"/>
      </rPr>
      <t xml:space="preserve">3-2-11     </t>
    </r>
    <r>
      <rPr>
        <sz val="15"/>
        <color theme="1"/>
        <rFont val="新細明體"/>
        <family val="1"/>
        <charset val="136"/>
      </rPr>
      <t>近</t>
    </r>
    <r>
      <rPr>
        <sz val="15"/>
        <color theme="1"/>
        <rFont val="Times New Roman"/>
        <family val="1"/>
      </rPr>
      <t>10</t>
    </r>
    <r>
      <rPr>
        <sz val="15"/>
        <color theme="1"/>
        <rFont val="新細明體"/>
        <family val="1"/>
        <charset val="136"/>
      </rPr>
      <t>年觸法少年交付保護處分之父母現況</t>
    </r>
    <phoneticPr fontId="6" type="noConversion"/>
  </si>
  <si>
    <r>
      <rPr>
        <sz val="15"/>
        <color theme="1"/>
        <rFont val="新細明體"/>
        <family val="1"/>
        <charset val="136"/>
      </rPr>
      <t>表</t>
    </r>
    <r>
      <rPr>
        <sz val="15"/>
        <color theme="1"/>
        <rFont val="Times New Roman"/>
        <family val="1"/>
      </rPr>
      <t xml:space="preserve">3-2-12     </t>
    </r>
    <r>
      <rPr>
        <sz val="15"/>
        <color theme="1"/>
        <rFont val="新細明體"/>
        <family val="1"/>
        <charset val="136"/>
      </rPr>
      <t>近</t>
    </r>
    <r>
      <rPr>
        <sz val="15"/>
        <color theme="1"/>
        <rFont val="Times New Roman"/>
        <family val="1"/>
      </rPr>
      <t>10</t>
    </r>
    <r>
      <rPr>
        <sz val="15"/>
        <color theme="1"/>
        <rFont val="新細明體"/>
        <family val="1"/>
        <charset val="136"/>
      </rPr>
      <t>年觸法少年交付保護處分之父母婚姻狀況</t>
    </r>
    <phoneticPr fontId="6" type="noConversion"/>
  </si>
  <si>
    <r>
      <rPr>
        <sz val="15"/>
        <color theme="1"/>
        <rFont val="新細明體"/>
        <family val="1"/>
        <charset val="136"/>
      </rPr>
      <t>表</t>
    </r>
    <r>
      <rPr>
        <sz val="15"/>
        <color theme="1"/>
        <rFont val="Times New Roman"/>
        <family val="1"/>
      </rPr>
      <t>3-2-21</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年曝險少年交付保護處分之性別與行為</t>
    </r>
    <phoneticPr fontId="6" type="noConversion"/>
  </si>
  <si>
    <r>
      <rPr>
        <sz val="15"/>
        <color theme="1"/>
        <rFont val="新細明體"/>
        <family val="1"/>
        <charset val="136"/>
      </rPr>
      <t>表</t>
    </r>
    <r>
      <rPr>
        <sz val="15"/>
        <color theme="1"/>
        <rFont val="Times New Roman"/>
        <family val="1"/>
      </rPr>
      <t>3-2-22</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年曝險少年交付保護處分之性別與年齡</t>
    </r>
    <phoneticPr fontId="6" type="noConversion"/>
  </si>
  <si>
    <r>
      <rPr>
        <sz val="15"/>
        <color theme="1"/>
        <rFont val="新細明體"/>
        <family val="1"/>
        <charset val="136"/>
      </rPr>
      <t>表</t>
    </r>
    <r>
      <rPr>
        <sz val="15"/>
        <color theme="1"/>
        <rFont val="Times New Roman"/>
        <family val="1"/>
      </rPr>
      <t>3-2-23</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年曝險少年交付保護處分之教育程度</t>
    </r>
    <phoneticPr fontId="6" type="noConversion"/>
  </si>
  <si>
    <r>
      <rPr>
        <sz val="15"/>
        <color theme="1"/>
        <rFont val="新細明體"/>
        <family val="1"/>
        <charset val="136"/>
      </rPr>
      <t>表</t>
    </r>
    <r>
      <rPr>
        <sz val="15"/>
        <color theme="1"/>
        <rFont val="Times New Roman"/>
        <family val="1"/>
      </rPr>
      <t>3-2-24</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年曝險少年交付保護處分之性別與就業情形</t>
    </r>
    <phoneticPr fontId="6" type="noConversion"/>
  </si>
  <si>
    <r>
      <rPr>
        <sz val="15"/>
        <color theme="1"/>
        <rFont val="新細明體"/>
        <family val="1"/>
        <charset val="136"/>
      </rPr>
      <t>表</t>
    </r>
    <r>
      <rPr>
        <sz val="15"/>
        <color theme="1"/>
        <rFont val="Times New Roman"/>
        <family val="1"/>
      </rPr>
      <t>3-2-25</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年曝險少年交付保護處分之家庭經濟狀況</t>
    </r>
    <phoneticPr fontId="6" type="noConversion"/>
  </si>
  <si>
    <r>
      <rPr>
        <sz val="15"/>
        <color theme="1"/>
        <rFont val="新細明體"/>
        <family val="1"/>
        <charset val="136"/>
      </rPr>
      <t>表</t>
    </r>
    <r>
      <rPr>
        <sz val="15"/>
        <color theme="1"/>
        <rFont val="Times New Roman"/>
        <family val="1"/>
      </rPr>
      <t>3-2-26</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年曝險少年交付保護處分之父母現況</t>
    </r>
    <phoneticPr fontId="6" type="noConversion"/>
  </si>
  <si>
    <r>
      <rPr>
        <sz val="15"/>
        <color theme="1"/>
        <rFont val="新細明體"/>
        <family val="1"/>
        <charset val="136"/>
      </rPr>
      <t>表</t>
    </r>
    <r>
      <rPr>
        <sz val="15"/>
        <color theme="1"/>
        <rFont val="Times New Roman"/>
        <family val="1"/>
      </rPr>
      <t xml:space="preserve">3-2-27 </t>
    </r>
    <r>
      <rPr>
        <sz val="15"/>
        <color theme="1"/>
        <rFont val="新細明體"/>
        <family val="1"/>
        <charset val="136"/>
      </rPr>
      <t>　近</t>
    </r>
    <r>
      <rPr>
        <sz val="15"/>
        <color theme="1"/>
        <rFont val="Times New Roman"/>
        <family val="1"/>
      </rPr>
      <t>10</t>
    </r>
    <r>
      <rPr>
        <sz val="15"/>
        <color theme="1"/>
        <rFont val="新細明體"/>
        <family val="1"/>
        <charset val="136"/>
      </rPr>
      <t>年曝險少年交付保護處分之父母婚姻狀況</t>
    </r>
    <phoneticPr fontId="6" type="noConversion"/>
  </si>
  <si>
    <r>
      <rPr>
        <sz val="10"/>
        <rFont val="新細明體"/>
        <family val="1"/>
        <charset val="136"/>
      </rPr>
      <t>　　　　　</t>
    </r>
    <r>
      <rPr>
        <sz val="10"/>
        <rFont val="Times New Roman"/>
        <family val="1"/>
      </rPr>
      <t>3. 110</t>
    </r>
    <r>
      <rPr>
        <sz val="10"/>
        <rFont val="新細明體"/>
        <family val="1"/>
        <charset val="136"/>
      </rPr>
      <t>年保護管束含：保護管束</t>
    </r>
    <r>
      <rPr>
        <sz val="10"/>
        <rFont val="Times New Roman"/>
        <family val="1"/>
      </rPr>
      <t>3,557</t>
    </r>
    <r>
      <rPr>
        <sz val="10"/>
        <rFont val="新細明體"/>
        <family val="1"/>
        <charset val="136"/>
      </rPr>
      <t>人、保護管束並令勞動服務</t>
    </r>
    <r>
      <rPr>
        <sz val="10"/>
        <rFont val="Times New Roman"/>
        <family val="1"/>
      </rPr>
      <t>501</t>
    </r>
    <r>
      <rPr>
        <sz val="10"/>
        <rFont val="新細明體"/>
        <family val="1"/>
        <charset val="136"/>
      </rPr>
      <t>人。</t>
    </r>
    <phoneticPr fontId="6" type="noConversion"/>
  </si>
  <si>
    <r>
      <rPr>
        <sz val="10"/>
        <rFont val="新細明體"/>
        <family val="1"/>
        <charset val="136"/>
      </rPr>
      <t>　　　　　</t>
    </r>
    <r>
      <rPr>
        <sz val="10"/>
        <rFont val="Times New Roman"/>
        <family val="1"/>
      </rPr>
      <t>4. 110</t>
    </r>
    <r>
      <rPr>
        <sz val="10"/>
        <rFont val="新細明體"/>
        <family val="1"/>
        <charset val="136"/>
      </rPr>
      <t>年訓誡含：訓誡</t>
    </r>
    <r>
      <rPr>
        <sz val="10"/>
        <rFont val="Times New Roman"/>
        <family val="1"/>
      </rPr>
      <t>1,696</t>
    </r>
    <r>
      <rPr>
        <sz val="10"/>
        <rFont val="新細明體"/>
        <family val="1"/>
        <charset val="136"/>
      </rPr>
      <t>人、訓誡並予假日生活輔導</t>
    </r>
    <r>
      <rPr>
        <sz val="10"/>
        <rFont val="Times New Roman"/>
        <family val="1"/>
      </rPr>
      <t>2,355</t>
    </r>
    <r>
      <rPr>
        <sz val="10"/>
        <rFont val="新細明體"/>
        <family val="1"/>
        <charset val="136"/>
      </rPr>
      <t>人。</t>
    </r>
    <phoneticPr fontId="6" type="noConversion"/>
  </si>
  <si>
    <r>
      <t>110</t>
    </r>
    <r>
      <rPr>
        <sz val="12"/>
        <color theme="1"/>
        <rFont val="新細明體"/>
        <family val="2"/>
        <charset val="136"/>
        <scheme val="minor"/>
      </rPr>
      <t>年</t>
    </r>
    <r>
      <rPr>
        <sz val="12"/>
        <rFont val="細明體"/>
        <family val="3"/>
        <charset val="136"/>
      </rPr>
      <t/>
    </r>
    <phoneticPr fontId="21" type="noConversion"/>
  </si>
  <si>
    <r>
      <rPr>
        <sz val="10"/>
        <color theme="1"/>
        <rFont val="新細明體"/>
        <family val="1"/>
        <charset val="136"/>
      </rPr>
      <t>說　　明：</t>
    </r>
    <r>
      <rPr>
        <sz val="10"/>
        <color theme="1"/>
        <rFont val="Times New Roman"/>
        <family val="1"/>
      </rPr>
      <t xml:space="preserve">1. </t>
    </r>
    <r>
      <rPr>
        <sz val="10"/>
        <color theme="1"/>
        <rFont val="新細明體"/>
        <family val="1"/>
        <charset val="136"/>
      </rPr>
      <t>本表保護事件、虞犯</t>
    </r>
    <r>
      <rPr>
        <sz val="10"/>
        <color theme="1"/>
        <rFont val="Times New Roman"/>
        <family val="1"/>
      </rPr>
      <t>/</t>
    </r>
    <r>
      <rPr>
        <sz val="10"/>
        <color theme="1"/>
        <rFont val="新細明體"/>
        <family val="1"/>
        <charset val="136"/>
      </rPr>
      <t>曝險，皆指當年度經法院裁定交付保護且經個案調查的少年。
　　　　　</t>
    </r>
    <r>
      <rPr>
        <sz val="10"/>
        <color theme="1"/>
        <rFont val="Times New Roman"/>
        <family val="1"/>
      </rPr>
      <t xml:space="preserve">2. </t>
    </r>
    <r>
      <rPr>
        <sz val="10"/>
        <color theme="1"/>
        <rFont val="新細明體"/>
        <family val="1"/>
        <charset val="136"/>
      </rPr>
      <t>本表刑事案件，係指當年度經法院裁判且經個案調查的少年。
　　　　　</t>
    </r>
    <r>
      <rPr>
        <sz val="10"/>
        <color theme="1"/>
        <rFont val="Times New Roman"/>
        <family val="1"/>
      </rPr>
      <t xml:space="preserve">3. </t>
    </r>
    <r>
      <rPr>
        <sz val="10"/>
        <color theme="1"/>
        <rFont val="新細明體"/>
        <family val="1"/>
        <charset val="136"/>
      </rPr>
      <t>本表指數以</t>
    </r>
    <r>
      <rPr>
        <sz val="10"/>
        <color theme="1"/>
        <rFont val="Times New Roman"/>
        <family val="1"/>
      </rPr>
      <t>101</t>
    </r>
    <r>
      <rPr>
        <sz val="10"/>
        <color theme="1"/>
        <rFont val="新細明體"/>
        <family val="1"/>
        <charset val="136"/>
      </rPr>
      <t>年為比較基準。
　　　　　</t>
    </r>
    <r>
      <rPr>
        <sz val="10"/>
        <color theme="1"/>
        <rFont val="Times New Roman"/>
        <family val="1"/>
      </rPr>
      <t xml:space="preserve">4. </t>
    </r>
    <r>
      <rPr>
        <sz val="10"/>
        <color theme="1"/>
        <rFont val="新細明體"/>
        <family val="1"/>
        <charset val="136"/>
      </rPr>
      <t>本表虞犯</t>
    </r>
    <r>
      <rPr>
        <sz val="10"/>
        <color theme="1"/>
        <rFont val="Times New Roman"/>
        <family val="1"/>
      </rPr>
      <t>/</t>
    </r>
    <r>
      <rPr>
        <sz val="10"/>
        <color theme="1"/>
        <rFont val="新細明體"/>
        <family val="1"/>
        <charset val="136"/>
      </rPr>
      <t>曝險欄，以</t>
    </r>
    <r>
      <rPr>
        <sz val="10"/>
        <color theme="1"/>
        <rFont val="Times New Roman"/>
        <family val="1"/>
      </rPr>
      <t>108</t>
    </r>
    <r>
      <rPr>
        <sz val="10"/>
        <color theme="1"/>
        <rFont val="新細明體"/>
        <family val="1"/>
        <charset val="136"/>
      </rPr>
      <t>年</t>
    </r>
    <r>
      <rPr>
        <sz val="10"/>
        <color theme="1"/>
        <rFont val="Times New Roman"/>
        <family val="1"/>
      </rPr>
      <t>6</t>
    </r>
    <r>
      <rPr>
        <sz val="10"/>
        <color theme="1"/>
        <rFont val="新細明體"/>
        <family val="1"/>
        <charset val="136"/>
      </rPr>
      <t>月</t>
    </r>
    <r>
      <rPr>
        <sz val="10"/>
        <color theme="1"/>
        <rFont val="Times New Roman"/>
        <family val="1"/>
      </rPr>
      <t>19</t>
    </r>
    <r>
      <rPr>
        <sz val="10"/>
        <color theme="1"/>
        <rFont val="新細明體"/>
        <family val="1"/>
        <charset val="136"/>
      </rPr>
      <t>日少事法修法施行前為虞犯少年，其後則為曝險少年。</t>
    </r>
    <phoneticPr fontId="6" type="noConversion"/>
  </si>
  <si>
    <r>
      <rPr>
        <sz val="15"/>
        <color theme="1"/>
        <rFont val="新細明體"/>
        <family val="1"/>
        <charset val="136"/>
      </rPr>
      <t>表</t>
    </r>
    <r>
      <rPr>
        <sz val="15"/>
        <color theme="1"/>
        <rFont val="Times New Roman"/>
        <family val="1"/>
      </rPr>
      <t>3-2-7</t>
    </r>
    <r>
      <rPr>
        <sz val="15"/>
        <color theme="1"/>
        <rFont val="新細明體"/>
        <family val="1"/>
        <charset val="136"/>
      </rPr>
      <t>　</t>
    </r>
    <r>
      <rPr>
        <sz val="15"/>
        <color theme="1"/>
        <rFont val="Times New Roman"/>
        <family val="1"/>
      </rPr>
      <t>110</t>
    </r>
    <r>
      <rPr>
        <sz val="15"/>
        <color theme="1"/>
        <rFont val="新細明體"/>
        <family val="1"/>
        <charset val="136"/>
      </rPr>
      <t>年觸法少年交付保護處分之年齡與主要罪名</t>
    </r>
    <phoneticPr fontId="18" type="noConversion"/>
  </si>
  <si>
    <r>
      <rPr>
        <sz val="12"/>
        <color theme="1"/>
        <rFont val="新細明體"/>
        <family val="2"/>
        <charset val="136"/>
        <scheme val="minor"/>
      </rPr>
      <t>百分比</t>
    </r>
    <phoneticPr fontId="6" type="noConversion"/>
  </si>
  <si>
    <t>說　　明：1. 本表係以108年6月19日修法施行前條文為分類基準，並列述修法前後用語對照如下：
　　　　　(1) 無正當理由經常攜帶刀械者 -&gt; 無正當理由經常攜帶危險器械。
　　　　　(2) 吸食或施打煙毒或麻醉藥品以外之迷幻物品者 -&gt; 有施用毒品或迷幻物品之行為而尚未觸犯刑罰法律。
　　　　　(3) 有預備犯罪或犯罪未遂而為法所不罰之行為者 -&gt; 有預備犯罪或犯罪未遂而為法所不罰之行為。
　　　　　2. 本表虞犯/曝險少年，係指當年度經法院裁定交付保護處分且經個案調查者。
　　　　　3.基於少年事件處理法自108年修正虞犯少年為曝險少年，本表於108年6月前為虞犯少年數據，其後為曝險少年數據。</t>
    <phoneticPr fontId="18" type="noConversion"/>
  </si>
  <si>
    <t>-</t>
    <phoneticPr fontId="6" type="noConversion"/>
  </si>
  <si>
    <t>-</t>
    <phoneticPr fontId="6" type="noConversion"/>
  </si>
  <si>
    <r>
      <rPr>
        <sz val="12"/>
        <color theme="1"/>
        <rFont val="新細明體"/>
        <family val="2"/>
      </rPr>
      <t>人</t>
    </r>
    <phoneticPr fontId="6" type="noConversion"/>
  </si>
  <si>
    <t>%</t>
    <phoneticPr fontId="6" type="noConversion"/>
  </si>
  <si>
    <t>%</t>
    <phoneticPr fontId="6" type="noConversion"/>
  </si>
  <si>
    <r>
      <rPr>
        <sz val="12"/>
        <color theme="1"/>
        <rFont val="新細明體"/>
        <family val="2"/>
      </rPr>
      <t>男</t>
    </r>
    <phoneticPr fontId="6" type="noConversion"/>
  </si>
  <si>
    <r>
      <rPr>
        <sz val="12"/>
        <color theme="1"/>
        <rFont val="新細明體"/>
        <family val="2"/>
      </rPr>
      <t>勉足維持生活</t>
    </r>
    <phoneticPr fontId="6" type="noConversion"/>
  </si>
  <si>
    <r>
      <rPr>
        <sz val="12"/>
        <color theme="1"/>
        <rFont val="新細明體"/>
        <family val="2"/>
      </rPr>
      <t>小康之家</t>
    </r>
    <phoneticPr fontId="6" type="noConversion"/>
  </si>
  <si>
    <t>-</t>
    <phoneticPr fontId="6" type="noConversion"/>
  </si>
  <si>
    <t>-</t>
    <phoneticPr fontId="6" type="noConversion"/>
  </si>
  <si>
    <r>
      <rPr>
        <sz val="12"/>
        <color theme="1"/>
        <rFont val="新細明體"/>
        <family val="2"/>
      </rPr>
      <t>人</t>
    </r>
    <phoneticPr fontId="6" type="noConversion"/>
  </si>
  <si>
    <r>
      <rPr>
        <sz val="12"/>
        <color theme="1"/>
        <rFont val="新細明體"/>
        <family val="2"/>
      </rPr>
      <t>人</t>
    </r>
    <phoneticPr fontId="6" type="noConversion"/>
  </si>
  <si>
    <t>%</t>
    <phoneticPr fontId="6" type="noConversion"/>
  </si>
  <si>
    <t>%</t>
    <phoneticPr fontId="6" type="noConversion"/>
  </si>
  <si>
    <r>
      <rPr>
        <sz val="12"/>
        <color theme="1"/>
        <rFont val="新細明體"/>
        <family val="2"/>
      </rPr>
      <t>人</t>
    </r>
    <phoneticPr fontId="6" type="noConversion"/>
  </si>
  <si>
    <r>
      <rPr>
        <sz val="12"/>
        <color theme="1"/>
        <rFont val="新細明體"/>
        <family val="2"/>
      </rPr>
      <t>總計</t>
    </r>
    <phoneticPr fontId="6" type="noConversion"/>
  </si>
  <si>
    <r>
      <rPr>
        <sz val="12"/>
        <color theme="1"/>
        <rFont val="新細明體"/>
        <family val="2"/>
      </rPr>
      <t>勉足維持生活</t>
    </r>
    <phoneticPr fontId="6" type="noConversion"/>
  </si>
  <si>
    <r>
      <rPr>
        <sz val="12"/>
        <color theme="1"/>
        <rFont val="新細明體"/>
        <family val="2"/>
      </rPr>
      <t>小康之家</t>
    </r>
    <phoneticPr fontId="6" type="noConversion"/>
  </si>
  <si>
    <r>
      <rPr>
        <sz val="12"/>
        <color theme="1"/>
        <rFont val="新細明體"/>
        <family val="2"/>
        <charset val="136"/>
      </rPr>
      <t>計</t>
    </r>
    <phoneticPr fontId="18" type="noConversion"/>
  </si>
  <si>
    <r>
      <rPr>
        <sz val="12"/>
        <color theme="1"/>
        <rFont val="新細明體"/>
        <family val="2"/>
        <charset val="136"/>
      </rPr>
      <t>女</t>
    </r>
    <phoneticPr fontId="18" type="noConversion"/>
  </si>
  <si>
    <r>
      <rPr>
        <sz val="12"/>
        <color theme="1"/>
        <rFont val="新細明體"/>
        <family val="2"/>
        <charset val="136"/>
      </rPr>
      <t>總計</t>
    </r>
    <r>
      <rPr>
        <sz val="12"/>
        <rFont val="Times New Roman"/>
        <family val="1"/>
      </rPr>
      <t xml:space="preserve"> </t>
    </r>
  </si>
  <si>
    <r>
      <rPr>
        <sz val="12"/>
        <color theme="1"/>
        <rFont val="新細明體"/>
        <family val="2"/>
        <charset val="136"/>
      </rPr>
      <t>人</t>
    </r>
    <phoneticPr fontId="18" type="noConversion"/>
  </si>
  <si>
    <r>
      <rPr>
        <sz val="12"/>
        <color theme="1"/>
        <rFont val="新細明體"/>
        <family val="2"/>
        <charset val="136"/>
      </rPr>
      <t>人</t>
    </r>
    <phoneticPr fontId="18" type="noConversion"/>
  </si>
  <si>
    <r>
      <rPr>
        <sz val="12"/>
        <color theme="1"/>
        <rFont val="新細明體"/>
        <family val="2"/>
        <charset val="136"/>
      </rPr>
      <t>妨害性自主
及妨害風化罪</t>
    </r>
  </si>
  <si>
    <r>
      <rPr>
        <sz val="12"/>
        <color theme="1"/>
        <rFont val="新細明體"/>
        <family val="1"/>
        <charset val="136"/>
      </rPr>
      <t>贓物罪</t>
    </r>
  </si>
  <si>
    <r>
      <rPr>
        <sz val="12"/>
        <color theme="1"/>
        <rFont val="新細明體"/>
        <family val="2"/>
        <charset val="136"/>
      </rPr>
      <t>其他罪名</t>
    </r>
    <phoneticPr fontId="18" type="noConversion"/>
  </si>
  <si>
    <r>
      <rPr>
        <sz val="12"/>
        <color theme="1"/>
        <rFont val="新細明體"/>
        <family val="2"/>
        <charset val="136"/>
      </rPr>
      <t>曝險行為</t>
    </r>
    <phoneticPr fontId="18" type="noConversion"/>
  </si>
  <si>
    <r>
      <t>101</t>
    </r>
    <r>
      <rPr>
        <sz val="12"/>
        <color theme="1"/>
        <rFont val="新細明體"/>
        <family val="2"/>
        <charset val="136"/>
      </rPr>
      <t>年</t>
    </r>
    <r>
      <rPr>
        <sz val="12"/>
        <rFont val="Times New Roman"/>
        <family val="1"/>
      </rPr>
      <t/>
    </r>
    <phoneticPr fontId="6" type="noConversion"/>
  </si>
  <si>
    <r>
      <rPr>
        <sz val="12"/>
        <color theme="1"/>
        <rFont val="新細明體"/>
        <family val="2"/>
        <charset val="136"/>
      </rPr>
      <t>人</t>
    </r>
    <phoneticPr fontId="6" type="noConversion"/>
  </si>
  <si>
    <t>%</t>
    <phoneticPr fontId="6" type="noConversion"/>
  </si>
  <si>
    <r>
      <rPr>
        <sz val="12"/>
        <color theme="1"/>
        <rFont val="新細明體"/>
        <family val="2"/>
        <charset val="136"/>
      </rPr>
      <t>人</t>
    </r>
    <phoneticPr fontId="6" type="noConversion"/>
  </si>
  <si>
    <r>
      <rPr>
        <sz val="12"/>
        <color theme="1"/>
        <rFont val="新細明體"/>
        <family val="2"/>
        <charset val="136"/>
      </rPr>
      <t>人</t>
    </r>
    <phoneticPr fontId="6" type="noConversion"/>
  </si>
  <si>
    <t>%</t>
    <phoneticPr fontId="6" type="noConversion"/>
  </si>
  <si>
    <r>
      <rPr>
        <sz val="12"/>
        <color theme="1"/>
        <rFont val="新細明體"/>
        <family val="2"/>
        <charset val="136"/>
      </rPr>
      <t>人</t>
    </r>
    <phoneticPr fontId="6" type="noConversion"/>
  </si>
  <si>
    <t>%</t>
    <phoneticPr fontId="6" type="noConversion"/>
  </si>
  <si>
    <r>
      <rPr>
        <sz val="12"/>
        <color theme="1"/>
        <rFont val="新細明體"/>
        <family val="2"/>
        <charset val="136"/>
      </rPr>
      <t>總計</t>
    </r>
    <phoneticPr fontId="6" type="noConversion"/>
  </si>
  <si>
    <r>
      <rPr>
        <sz val="12"/>
        <color theme="1"/>
        <rFont val="新細明體"/>
        <family val="2"/>
        <charset val="136"/>
      </rPr>
      <t>男</t>
    </r>
    <phoneticPr fontId="6" type="noConversion"/>
  </si>
  <si>
    <r>
      <rPr>
        <sz val="12"/>
        <color theme="1"/>
        <rFont val="新細明體"/>
        <family val="2"/>
        <charset val="136"/>
      </rPr>
      <t>女</t>
    </r>
    <phoneticPr fontId="6" type="noConversion"/>
  </si>
  <si>
    <r>
      <rPr>
        <sz val="12"/>
        <color theme="1"/>
        <rFont val="新細明體"/>
        <family val="2"/>
        <charset val="136"/>
      </rPr>
      <t>毒品危害防制條例</t>
    </r>
    <phoneticPr fontId="6" type="noConversion"/>
  </si>
  <si>
    <r>
      <rPr>
        <sz val="12"/>
        <color theme="1"/>
        <rFont val="新細明體"/>
        <family val="2"/>
        <charset val="136"/>
      </rPr>
      <t>妨害性自主罪</t>
    </r>
    <phoneticPr fontId="6" type="noConversion"/>
  </si>
  <si>
    <r>
      <rPr>
        <sz val="12"/>
        <color theme="1"/>
        <rFont val="新細明體"/>
        <family val="2"/>
        <charset val="136"/>
      </rPr>
      <t>兒少性剝削防制</t>
    </r>
    <phoneticPr fontId="6" type="noConversion"/>
  </si>
  <si>
    <r>
      <rPr>
        <sz val="12"/>
        <color theme="1"/>
        <rFont val="新細明體"/>
        <family val="2"/>
        <charset val="136"/>
      </rPr>
      <t>殺人罪</t>
    </r>
    <phoneticPr fontId="6" type="noConversion"/>
  </si>
  <si>
    <r>
      <rPr>
        <sz val="12"/>
        <color theme="1"/>
        <rFont val="新細明體"/>
        <family val="2"/>
        <charset val="136"/>
      </rPr>
      <t>公共危險罪</t>
    </r>
    <phoneticPr fontId="6" type="noConversion"/>
  </si>
  <si>
    <r>
      <rPr>
        <sz val="12"/>
        <color theme="1"/>
        <rFont val="新細明體"/>
        <family val="2"/>
        <charset val="136"/>
      </rPr>
      <t>槍砲彈藥刀械管制條例</t>
    </r>
    <phoneticPr fontId="6" type="noConversion"/>
  </si>
  <si>
    <r>
      <rPr>
        <sz val="12"/>
        <color theme="1"/>
        <rFont val="新細明體"/>
        <family val="2"/>
        <charset val="136"/>
      </rPr>
      <t>竊盜罪</t>
    </r>
    <phoneticPr fontId="6" type="noConversion"/>
  </si>
  <si>
    <r>
      <rPr>
        <sz val="12"/>
        <color theme="1"/>
        <rFont val="新細明體"/>
        <family val="2"/>
        <charset val="136"/>
      </rPr>
      <t>搶奪及海盜罪</t>
    </r>
    <phoneticPr fontId="6" type="noConversion"/>
  </si>
  <si>
    <r>
      <rPr>
        <sz val="12"/>
        <color theme="1"/>
        <rFont val="新細明體"/>
        <family val="2"/>
        <charset val="136"/>
      </rPr>
      <t>贓物罪</t>
    </r>
    <phoneticPr fontId="6" type="noConversion"/>
  </si>
  <si>
    <r>
      <rPr>
        <sz val="12"/>
        <color theme="1"/>
        <rFont val="新細明體"/>
        <family val="2"/>
        <charset val="136"/>
      </rPr>
      <t>其他</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</si>
</sst>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43" formatCode="_-* #,##0.00_-;\-* #,##0.00_-;_-* &quot;-&quot;??_-;_-@_-"/>
    <numFmt numFmtId="176" formatCode="_(* #,##0_);_(* \(#,##0\);_(* &quot;-&quot;_);_(@_)"/>
    <numFmt numFmtId="177" formatCode="0.00_);[Red]\(0.00\)"/>
    <numFmt numFmtId="178" formatCode="#,##0_ "/>
    <numFmt numFmtId="179" formatCode="#,##0.00_ "/>
    <numFmt numFmtId="180" formatCode="0.00_ "/>
    <numFmt numFmtId="181" formatCode="#,##0;[Red]#,##0"/>
    <numFmt numFmtId="182" formatCode="_(* #,##0_);_(* \(#,##0\);_(* &quot;-&quot;??_);_(@_)"/>
    <numFmt numFmtId="183" formatCode="0_);[Red]\(0\)"/>
    <numFmt numFmtId="184" formatCode="0_ "/>
    <numFmt numFmtId="185" formatCode="#,##0;\-#,##0;\-"/>
    <numFmt numFmtId="186" formatCode="#,##0.00;\-#,##0.00;\-"/>
    <numFmt numFmtId="187" formatCode="_(* #,##0.00_);_(* \(#,##0.00\);_(* &quot;-&quot;_);_(@_)"/>
    <numFmt numFmtId="188" formatCode="_-* #,##0.0000_-;\-* #,##0.0000_-;_-* &quot;-&quot;??_-;_-@_-"/>
    <numFmt numFmtId="189" formatCode="0.0000"/>
    <numFmt numFmtId="190" formatCode="_-* #,##0_-;\-* #,##0_-;_-* &quot;-&quot;??_-;_-@_-"/>
  </numFmts>
  <fonts count="35">
    <font>
      <sz val="12"/>
      <color theme="1"/>
      <name val="新細明體"/>
      <family val="2"/>
      <charset val="136"/>
      <scheme val="minor"/>
    </font>
    <font>
      <sz val="12"/>
      <color theme="1"/>
      <name val="新細明體"/>
      <family val="2"/>
      <charset val="136"/>
      <scheme val="minor"/>
    </font>
    <font>
      <sz val="12"/>
      <name val="新細明體"/>
      <family val="1"/>
      <charset val="136"/>
    </font>
    <font>
      <sz val="15"/>
      <color theme="1"/>
      <name val="Times New Roman"/>
      <family val="1"/>
    </font>
    <font>
      <sz val="15"/>
      <color theme="1"/>
      <name val="新細明體"/>
      <family val="1"/>
      <charset val="136"/>
    </font>
    <font>
      <sz val="9"/>
      <name val="新細明體"/>
      <family val="2"/>
      <charset val="136"/>
      <scheme val="minor"/>
    </font>
    <font>
      <sz val="9"/>
      <name val="細明體"/>
      <family val="3"/>
      <charset val="136"/>
    </font>
    <font>
      <sz val="12"/>
      <name val="Times New Roman"/>
      <family val="1"/>
    </font>
    <font>
      <b/>
      <sz val="12"/>
      <color theme="1"/>
      <name val="Times New Roman"/>
      <family val="1"/>
    </font>
    <font>
      <sz val="12"/>
      <color theme="1"/>
      <name val="Times New Roman"/>
      <family val="1"/>
    </font>
    <font>
      <sz val="10"/>
      <color theme="1"/>
      <name val="Times New Roman"/>
      <family val="1"/>
    </font>
    <font>
      <sz val="10"/>
      <color theme="1"/>
      <name val="新細明體"/>
      <family val="1"/>
      <charset val="136"/>
    </font>
    <font>
      <sz val="12"/>
      <color theme="1"/>
      <name val="新細明體"/>
      <family val="1"/>
      <charset val="136"/>
    </font>
    <font>
      <sz val="12"/>
      <name val="細明體"/>
      <family val="3"/>
      <charset val="136"/>
    </font>
    <font>
      <sz val="12"/>
      <color rgb="FF00B050"/>
      <name val="Times New Roman"/>
      <family val="1"/>
    </font>
    <font>
      <sz val="10"/>
      <name val="Times New Roman"/>
      <family val="1"/>
    </font>
    <font>
      <sz val="15"/>
      <name val="Times New Roman"/>
      <family val="1"/>
    </font>
    <font>
      <sz val="15"/>
      <name val="新細明體"/>
      <family val="1"/>
      <charset val="136"/>
    </font>
    <font>
      <sz val="9"/>
      <name val="新細明體"/>
      <family val="1"/>
      <charset val="136"/>
    </font>
    <font>
      <sz val="10"/>
      <name val="新細明體"/>
      <family val="1"/>
      <charset val="136"/>
    </font>
    <font>
      <sz val="12"/>
      <color theme="1"/>
      <name val="新細明體"/>
      <family val="1"/>
      <charset val="136"/>
      <scheme val="minor"/>
    </font>
    <font>
      <sz val="9"/>
      <name val="新細明體"/>
      <family val="3"/>
      <charset val="136"/>
      <scheme val="minor"/>
    </font>
    <font>
      <sz val="11"/>
      <name val="Times New Roman"/>
      <family val="1"/>
    </font>
    <font>
      <sz val="11"/>
      <name val="新細明體"/>
      <family val="1"/>
      <charset val="136"/>
    </font>
    <font>
      <sz val="12"/>
      <name val="標楷體"/>
      <family val="4"/>
      <charset val="136"/>
    </font>
    <font>
      <sz val="12"/>
      <color theme="1"/>
      <name val="新細明體"/>
      <family val="2"/>
    </font>
    <font>
      <sz val="10"/>
      <name val="標楷體"/>
      <family val="4"/>
      <charset val="136"/>
    </font>
    <font>
      <sz val="12"/>
      <color rgb="FFFF0000"/>
      <name val="Times New Roman"/>
      <family val="1"/>
    </font>
    <font>
      <sz val="10"/>
      <name val="細明體"/>
      <family val="3"/>
      <charset val="136"/>
    </font>
    <font>
      <sz val="12"/>
      <color theme="1"/>
      <name val="新細明體"/>
      <family val="1"/>
      <charset val="136"/>
      <scheme val="major"/>
    </font>
    <font>
      <sz val="11"/>
      <color theme="1"/>
      <name val="新細明體"/>
      <family val="1"/>
      <charset val="136"/>
      <scheme val="major"/>
    </font>
    <font>
      <sz val="12"/>
      <color theme="1"/>
      <name val="細明體"/>
      <family val="3"/>
      <charset val="136"/>
    </font>
    <font>
      <sz val="12"/>
      <name val="華康中楷體"/>
      <family val="3"/>
      <charset val="136"/>
    </font>
    <font>
      <sz val="12"/>
      <color theme="1"/>
      <name val="新細明體"/>
      <family val="2"/>
      <charset val="136"/>
    </font>
    <font>
      <sz val="11"/>
      <name val="細明體"/>
      <family val="3"/>
      <charset val="136"/>
    </font>
  </fonts>
  <fills count="2">
    <fill>
      <patternFill patternType="none"/>
    </fill>
    <fill>
      <patternFill patternType="gray125"/>
    </fill>
  </fills>
  <borders count="15">
    <border>
      <left/>
      <right/>
      <top/>
      <bottom/>
      <diagonal/>
    </border>
    <border>
      <left/>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top style="thin">
        <color indexed="64"/>
      </top>
      <bottom/>
      <diagonal/>
    </border>
    <border>
      <left style="thin">
        <color indexed="64"/>
      </left>
      <right/>
      <top style="thin">
        <color indexed="64"/>
      </top>
      <bottom/>
      <diagonal/>
    </border>
    <border>
      <left style="thin">
        <color auto="1"/>
      </left>
      <right/>
      <top/>
      <bottom style="thin">
        <color auto="1"/>
      </bottom>
      <diagonal/>
    </border>
    <border>
      <left/>
      <right/>
      <top/>
      <bottom style="medium">
        <color indexed="64"/>
      </bottom>
      <diagonal/>
    </border>
    <border>
      <left/>
      <right/>
      <top style="medium">
        <color indexed="64"/>
      </top>
      <bottom/>
      <diagonal/>
    </border>
    <border>
      <left/>
      <right/>
      <top style="medium">
        <color indexed="64"/>
      </top>
      <bottom style="thin">
        <color auto="1"/>
      </bottom>
      <diagonal/>
    </border>
  </borders>
  <cellStyleXfs count="10">
    <xf numFmtId="0" fontId="0" fillId="0" borderId="0">
      <alignment vertical="center"/>
    </xf>
    <xf numFmtId="0" fontId="2" fillId="0" borderId="0"/>
    <xf numFmtId="43" fontId="2" fillId="0" borderId="0" applyFont="0" applyFill="0" applyBorder="0" applyAlignment="0" applyProtection="0"/>
    <xf numFmtId="0" fontId="20" fillId="0" borderId="0">
      <alignment vertical="center"/>
    </xf>
    <xf numFmtId="0" fontId="7" fillId="0" borderId="0"/>
    <xf numFmtId="176" fontId="7" fillId="0" borderId="0" applyFont="0" applyFill="0" applyBorder="0" applyAlignment="0" applyProtection="0"/>
    <xf numFmtId="0" fontId="1" fillId="0" borderId="0">
      <alignment vertical="center"/>
    </xf>
    <xf numFmtId="0" fontId="32" fillId="0" borderId="0"/>
    <xf numFmtId="0" fontId="2" fillId="0" borderId="0">
      <alignment vertical="center"/>
    </xf>
    <xf numFmtId="43" fontId="2" fillId="0" borderId="0" applyFont="0" applyFill="0" applyBorder="0" applyAlignment="0" applyProtection="0"/>
  </cellStyleXfs>
  <cellXfs count="460">
    <xf numFmtId="0" fontId="0" fillId="0" borderId="0" xfId="0">
      <alignment vertical="center"/>
    </xf>
    <xf numFmtId="0" fontId="7" fillId="0" borderId="0" xfId="1" applyFont="1" applyAlignment="1">
      <alignment vertical="center"/>
    </xf>
    <xf numFmtId="0" fontId="8" fillId="0" borderId="0" xfId="1" applyFont="1" applyAlignment="1">
      <alignment horizontal="center" vertical="center"/>
    </xf>
    <xf numFmtId="0" fontId="9" fillId="0" borderId="1" xfId="1" applyFont="1" applyBorder="1" applyAlignment="1">
      <alignment horizontal="center" vertical="center"/>
    </xf>
    <xf numFmtId="41" fontId="9" fillId="0" borderId="0" xfId="1" applyNumberFormat="1" applyFont="1" applyAlignment="1">
      <alignment horizontal="right" vertical="center"/>
    </xf>
    <xf numFmtId="41" fontId="9" fillId="0" borderId="0" xfId="2" applyNumberFormat="1" applyFont="1" applyFill="1" applyBorder="1" applyAlignment="1">
      <alignment horizontal="right" vertical="center"/>
    </xf>
    <xf numFmtId="43" fontId="9" fillId="0" borderId="0" xfId="1" applyNumberFormat="1" applyFont="1" applyAlignment="1">
      <alignment horizontal="right" vertical="center"/>
    </xf>
    <xf numFmtId="0" fontId="14" fillId="0" borderId="0" xfId="1" applyFont="1" applyAlignment="1">
      <alignment vertical="center"/>
    </xf>
    <xf numFmtId="0" fontId="9" fillId="0" borderId="0" xfId="1" applyFont="1" applyAlignment="1">
      <alignment horizontal="center" vertical="center"/>
    </xf>
    <xf numFmtId="41" fontId="9" fillId="0" borderId="1" xfId="1" applyNumberFormat="1" applyFont="1" applyBorder="1" applyAlignment="1">
      <alignment horizontal="right" vertical="center"/>
    </xf>
    <xf numFmtId="41" fontId="9" fillId="0" borderId="1" xfId="2" applyNumberFormat="1" applyFont="1" applyFill="1" applyBorder="1" applyAlignment="1">
      <alignment horizontal="right" vertical="center"/>
    </xf>
    <xf numFmtId="43" fontId="9" fillId="0" borderId="1" xfId="1" applyNumberFormat="1" applyFont="1" applyBorder="1" applyAlignment="1">
      <alignment horizontal="right" vertical="center"/>
    </xf>
    <xf numFmtId="0" fontId="10" fillId="0" borderId="9" xfId="1" applyFont="1" applyBorder="1" applyAlignment="1">
      <alignment vertical="center"/>
    </xf>
    <xf numFmtId="0" fontId="11" fillId="0" borderId="9" xfId="1" applyFont="1" applyBorder="1" applyAlignment="1">
      <alignment vertical="center"/>
    </xf>
    <xf numFmtId="0" fontId="15" fillId="0" borderId="0" xfId="1" applyFont="1" applyAlignment="1">
      <alignment vertical="center"/>
    </xf>
    <xf numFmtId="0" fontId="10" fillId="0" borderId="0" xfId="1" applyFont="1" applyAlignment="1">
      <alignment vertical="center"/>
    </xf>
    <xf numFmtId="0" fontId="2" fillId="0" borderId="0" xfId="1" applyAlignment="1">
      <alignment vertical="center"/>
    </xf>
    <xf numFmtId="0" fontId="7" fillId="0" borderId="0" xfId="1" applyFont="1"/>
    <xf numFmtId="0" fontId="7" fillId="0" borderId="9" xfId="1" applyFont="1" applyBorder="1" applyAlignment="1">
      <alignment horizontal="center" vertical="center"/>
    </xf>
    <xf numFmtId="0" fontId="7" fillId="0" borderId="1" xfId="1" applyFont="1" applyBorder="1" applyAlignment="1">
      <alignment horizontal="center" vertical="center"/>
    </xf>
    <xf numFmtId="43" fontId="7" fillId="0" borderId="9" xfId="1" applyNumberFormat="1" applyFont="1" applyBorder="1" applyAlignment="1">
      <alignment horizontal="right" vertical="center"/>
    </xf>
    <xf numFmtId="43" fontId="7" fillId="0" borderId="0" xfId="1" applyNumberFormat="1" applyFont="1" applyAlignment="1">
      <alignment horizontal="right" vertical="center"/>
    </xf>
    <xf numFmtId="43" fontId="7" fillId="0" borderId="1" xfId="1" applyNumberFormat="1" applyFont="1" applyBorder="1" applyAlignment="1">
      <alignment horizontal="right" vertical="center"/>
    </xf>
    <xf numFmtId="0" fontId="7" fillId="0" borderId="0" xfId="1" applyFont="1" applyAlignment="1">
      <alignment horizontal="right"/>
    </xf>
    <xf numFmtId="38" fontId="7" fillId="0" borderId="0" xfId="1" applyNumberFormat="1" applyFont="1"/>
    <xf numFmtId="43" fontId="7" fillId="0" borderId="0" xfId="1" applyNumberFormat="1" applyFont="1"/>
    <xf numFmtId="0" fontId="15" fillId="0" borderId="0" xfId="1" applyFont="1" applyAlignment="1">
      <alignment horizontal="left" vertical="center"/>
    </xf>
    <xf numFmtId="41" fontId="7" fillId="0" borderId="0" xfId="1" applyNumberFormat="1" applyFont="1" applyAlignment="1">
      <alignment horizontal="right" vertical="center"/>
    </xf>
    <xf numFmtId="41" fontId="7" fillId="0" borderId="1" xfId="1" applyNumberFormat="1" applyFont="1" applyBorder="1" applyAlignment="1">
      <alignment horizontal="right" vertical="center"/>
    </xf>
    <xf numFmtId="0" fontId="2" fillId="0" borderId="0" xfId="1"/>
    <xf numFmtId="0" fontId="7" fillId="0" borderId="0" xfId="1" applyFont="1" applyAlignment="1">
      <alignment horizontal="center" vertical="center"/>
    </xf>
    <xf numFmtId="41" fontId="7" fillId="0" borderId="9" xfId="1" applyNumberFormat="1" applyFont="1" applyBorder="1" applyAlignment="1">
      <alignment horizontal="right" vertical="center" shrinkToFit="1"/>
    </xf>
    <xf numFmtId="43" fontId="7" fillId="0" borderId="9" xfId="1" applyNumberFormat="1" applyFont="1" applyBorder="1" applyAlignment="1">
      <alignment horizontal="right" vertical="center" shrinkToFit="1"/>
    </xf>
    <xf numFmtId="41" fontId="7" fillId="0" borderId="0" xfId="1" applyNumberFormat="1" applyFont="1" applyAlignment="1">
      <alignment vertical="center"/>
    </xf>
    <xf numFmtId="43" fontId="7" fillId="0" borderId="0" xfId="1" applyNumberFormat="1" applyFont="1" applyAlignment="1">
      <alignment vertical="center"/>
    </xf>
    <xf numFmtId="0" fontId="15" fillId="0" borderId="0" xfId="1" applyFont="1"/>
    <xf numFmtId="0" fontId="7" fillId="0" borderId="0" xfId="1" applyFont="1" applyAlignment="1">
      <alignment horizontal="center"/>
    </xf>
    <xf numFmtId="43" fontId="7" fillId="0" borderId="12" xfId="1" applyNumberFormat="1" applyFont="1" applyBorder="1" applyAlignment="1">
      <alignment horizontal="right" vertical="center"/>
    </xf>
    <xf numFmtId="0" fontId="7" fillId="0" borderId="13" xfId="1" applyFont="1" applyBorder="1" applyAlignment="1">
      <alignment horizontal="center" vertical="center"/>
    </xf>
    <xf numFmtId="43" fontId="7" fillId="0" borderId="0" xfId="1" applyNumberFormat="1" applyFont="1" applyAlignment="1">
      <alignment horizontal="right" vertical="center" shrinkToFit="1"/>
    </xf>
    <xf numFmtId="43" fontId="7" fillId="0" borderId="1" xfId="1" applyNumberFormat="1" applyFont="1" applyBorder="1" applyAlignment="1">
      <alignment horizontal="right" vertical="center" shrinkToFit="1"/>
    </xf>
    <xf numFmtId="4" fontId="7" fillId="0" borderId="0" xfId="1" applyNumberFormat="1" applyFont="1" applyAlignment="1">
      <alignment horizontal="right"/>
    </xf>
    <xf numFmtId="2" fontId="7" fillId="0" borderId="0" xfId="1" applyNumberFormat="1" applyFont="1" applyAlignment="1">
      <alignment horizontal="right" vertical="center"/>
    </xf>
    <xf numFmtId="43" fontId="7" fillId="0" borderId="9" xfId="1" applyNumberFormat="1" applyFont="1" applyBorder="1" applyAlignment="1">
      <alignment horizontal="right"/>
    </xf>
    <xf numFmtId="41" fontId="7" fillId="0" borderId="0" xfId="1" applyNumberFormat="1" applyFont="1"/>
    <xf numFmtId="43" fontId="7" fillId="0" borderId="0" xfId="1" applyNumberFormat="1" applyFont="1" applyAlignment="1">
      <alignment horizontal="right"/>
    </xf>
    <xf numFmtId="0" fontId="7" fillId="0" borderId="0" xfId="3" applyFont="1" applyAlignment="1">
      <alignment horizontal="distributed" vertical="center" wrapText="1"/>
    </xf>
    <xf numFmtId="43" fontId="7" fillId="0" borderId="1" xfId="1" applyNumberFormat="1" applyFont="1" applyBorder="1" applyAlignment="1">
      <alignment horizontal="right"/>
    </xf>
    <xf numFmtId="3" fontId="7" fillId="0" borderId="0" xfId="1" applyNumberFormat="1" applyFont="1" applyAlignment="1">
      <alignment vertical="center"/>
    </xf>
    <xf numFmtId="2" fontId="7" fillId="0" borderId="0" xfId="1" applyNumberFormat="1" applyFont="1" applyAlignment="1">
      <alignment vertical="center"/>
    </xf>
    <xf numFmtId="38" fontId="7" fillId="0" borderId="0" xfId="1" applyNumberFormat="1" applyFont="1" applyAlignment="1">
      <alignment vertical="center"/>
    </xf>
    <xf numFmtId="177" fontId="7" fillId="0" borderId="0" xfId="1" applyNumberFormat="1" applyFont="1" applyAlignment="1">
      <alignment vertical="center"/>
    </xf>
    <xf numFmtId="178" fontId="7" fillId="0" borderId="0" xfId="1" applyNumberFormat="1" applyFont="1" applyAlignment="1">
      <alignment horizontal="right" vertical="center"/>
    </xf>
    <xf numFmtId="0" fontId="7" fillId="0" borderId="0" xfId="1" applyFont="1" applyAlignment="1">
      <alignment horizontal="right" vertical="center"/>
    </xf>
    <xf numFmtId="40" fontId="7" fillId="0" borderId="9" xfId="1" applyNumberFormat="1" applyFont="1" applyBorder="1" applyAlignment="1">
      <alignment horizontal="right" vertical="center" shrinkToFit="1"/>
    </xf>
    <xf numFmtId="40" fontId="7" fillId="0" borderId="0" xfId="1" applyNumberFormat="1" applyFont="1" applyAlignment="1">
      <alignment horizontal="right" vertical="center" shrinkToFit="1"/>
    </xf>
    <xf numFmtId="40" fontId="7" fillId="0" borderId="1" xfId="1" applyNumberFormat="1" applyFont="1" applyBorder="1" applyAlignment="1">
      <alignment horizontal="right" vertical="center" shrinkToFit="1"/>
    </xf>
    <xf numFmtId="40" fontId="7" fillId="0" borderId="12" xfId="1" applyNumberFormat="1" applyFont="1" applyBorder="1" applyAlignment="1">
      <alignment horizontal="right" vertical="center" shrinkToFit="1"/>
    </xf>
    <xf numFmtId="43" fontId="7" fillId="0" borderId="9" xfId="1" applyNumberFormat="1" applyFont="1" applyBorder="1"/>
    <xf numFmtId="3" fontId="7" fillId="0" borderId="0" xfId="1" applyNumberFormat="1" applyFont="1"/>
    <xf numFmtId="2" fontId="7" fillId="0" borderId="0" xfId="1" applyNumberFormat="1" applyFont="1"/>
    <xf numFmtId="0" fontId="16" fillId="0" borderId="0" xfId="1" applyFont="1" applyAlignment="1">
      <alignment vertical="center"/>
    </xf>
    <xf numFmtId="3" fontId="7" fillId="0" borderId="0" xfId="1" applyNumberFormat="1" applyFont="1" applyAlignment="1">
      <alignment horizontal="center" vertical="center"/>
    </xf>
    <xf numFmtId="0" fontId="27" fillId="0" borderId="0" xfId="1" applyFont="1"/>
    <xf numFmtId="0" fontId="7" fillId="0" borderId="9" xfId="1" applyFont="1" applyBorder="1" applyAlignment="1">
      <alignment horizontal="center"/>
    </xf>
    <xf numFmtId="180" fontId="7" fillId="0" borderId="0" xfId="1" applyNumberFormat="1" applyFont="1" applyAlignment="1">
      <alignment horizontal="right" vertical="center"/>
    </xf>
    <xf numFmtId="177" fontId="7" fillId="0" borderId="0" xfId="1" applyNumberFormat="1" applyFont="1" applyAlignment="1">
      <alignment horizontal="right" vertical="center"/>
    </xf>
    <xf numFmtId="177" fontId="7" fillId="0" borderId="1" xfId="1" applyNumberFormat="1" applyFont="1" applyBorder="1" applyAlignment="1">
      <alignment horizontal="right" vertical="center"/>
    </xf>
    <xf numFmtId="0" fontId="7" fillId="0" borderId="13" xfId="1" applyFont="1" applyBorder="1" applyAlignment="1">
      <alignment horizontal="center" shrinkToFit="1"/>
    </xf>
    <xf numFmtId="41" fontId="7" fillId="0" borderId="1" xfId="1" applyNumberFormat="1" applyFont="1" applyBorder="1"/>
    <xf numFmtId="0" fontId="9" fillId="0" borderId="0" xfId="1" applyFont="1"/>
    <xf numFmtId="41" fontId="9" fillId="0" borderId="9" xfId="1" applyNumberFormat="1" applyFont="1" applyBorder="1" applyAlignment="1">
      <alignment horizontal="right" vertical="center"/>
    </xf>
    <xf numFmtId="43" fontId="9" fillId="0" borderId="9" xfId="1" applyNumberFormat="1" applyFont="1" applyBorder="1" applyAlignment="1">
      <alignment horizontal="right" vertical="center"/>
    </xf>
    <xf numFmtId="0" fontId="9" fillId="0" borderId="0" xfId="1" applyFont="1" applyAlignment="1">
      <alignment vertical="center"/>
    </xf>
    <xf numFmtId="0" fontId="7" fillId="0" borderId="9" xfId="1" applyFont="1" applyBorder="1" applyAlignment="1">
      <alignment horizontal="center" vertical="center" wrapText="1"/>
    </xf>
    <xf numFmtId="3" fontId="15" fillId="0" borderId="0" xfId="1" applyNumberFormat="1" applyFont="1" applyAlignment="1">
      <alignment vertical="center"/>
    </xf>
    <xf numFmtId="41" fontId="7" fillId="0" borderId="9" xfId="1" applyNumberFormat="1" applyFont="1" applyBorder="1" applyAlignment="1">
      <alignment horizontal="right" vertical="center"/>
    </xf>
    <xf numFmtId="177" fontId="7" fillId="0" borderId="9" xfId="1" applyNumberFormat="1" applyFont="1" applyBorder="1" applyAlignment="1">
      <alignment horizontal="right" vertical="center"/>
    </xf>
    <xf numFmtId="181" fontId="7" fillId="0" borderId="0" xfId="1" applyNumberFormat="1" applyFont="1" applyAlignment="1">
      <alignment vertical="center"/>
    </xf>
    <xf numFmtId="177" fontId="7" fillId="0" borderId="12" xfId="1" applyNumberFormat="1" applyFont="1" applyBorder="1" applyAlignment="1">
      <alignment horizontal="right" vertical="center"/>
    </xf>
    <xf numFmtId="0" fontId="16" fillId="0" borderId="0" xfId="4" applyFont="1"/>
    <xf numFmtId="0" fontId="7" fillId="0" borderId="0" xfId="4"/>
    <xf numFmtId="0" fontId="15" fillId="0" borderId="0" xfId="4" applyFont="1"/>
    <xf numFmtId="2" fontId="15" fillId="0" borderId="0" xfId="4" applyNumberFormat="1" applyFont="1" applyAlignment="1">
      <alignment horizontal="center" vertical="center"/>
    </xf>
    <xf numFmtId="38" fontId="15" fillId="0" borderId="0" xfId="4" applyNumberFormat="1" applyFont="1"/>
    <xf numFmtId="0" fontId="15" fillId="0" borderId="0" xfId="4" applyFont="1" applyAlignment="1">
      <alignment horizontal="center"/>
    </xf>
    <xf numFmtId="2" fontId="7" fillId="0" borderId="0" xfId="4" applyNumberFormat="1" applyAlignment="1">
      <alignment horizontal="center" vertical="center"/>
    </xf>
    <xf numFmtId="182" fontId="7" fillId="0" borderId="0" xfId="4" applyNumberFormat="1"/>
    <xf numFmtId="0" fontId="7" fillId="0" borderId="0" xfId="4" applyAlignment="1">
      <alignment horizontal="center"/>
    </xf>
    <xf numFmtId="41" fontId="7" fillId="0" borderId="0" xfId="4" applyNumberFormat="1"/>
    <xf numFmtId="43" fontId="7" fillId="0" borderId="0" xfId="4" applyNumberFormat="1"/>
    <xf numFmtId="183" fontId="15" fillId="0" borderId="0" xfId="4" applyNumberFormat="1" applyFont="1"/>
    <xf numFmtId="0" fontId="15" fillId="0" borderId="0" xfId="4" applyFont="1" applyAlignment="1">
      <alignment horizontal="center" vertical="center"/>
    </xf>
    <xf numFmtId="185" fontId="15" fillId="0" borderId="0" xfId="4" applyNumberFormat="1" applyFont="1"/>
    <xf numFmtId="183" fontId="7" fillId="0" borderId="0" xfId="4" applyNumberFormat="1"/>
    <xf numFmtId="38" fontId="7" fillId="0" borderId="0" xfId="4" applyNumberFormat="1"/>
    <xf numFmtId="185" fontId="7" fillId="0" borderId="0" xfId="4" applyNumberFormat="1"/>
    <xf numFmtId="185" fontId="15" fillId="0" borderId="0" xfId="4" applyNumberFormat="1" applyFont="1" applyAlignment="1">
      <alignment horizontal="right"/>
    </xf>
    <xf numFmtId="185" fontId="7" fillId="0" borderId="0" xfId="4" applyNumberFormat="1" applyAlignment="1">
      <alignment horizontal="right"/>
    </xf>
    <xf numFmtId="186" fontId="7" fillId="0" borderId="0" xfId="4" applyNumberFormat="1" applyAlignment="1">
      <alignment horizontal="right"/>
    </xf>
    <xf numFmtId="176" fontId="15" fillId="0" borderId="0" xfId="5" applyFont="1" applyBorder="1"/>
    <xf numFmtId="183" fontId="7" fillId="0" borderId="0" xfId="5" applyNumberFormat="1" applyFont="1" applyBorder="1"/>
    <xf numFmtId="176" fontId="7" fillId="0" borderId="0" xfId="5" applyFont="1" applyBorder="1"/>
    <xf numFmtId="187" fontId="7" fillId="0" borderId="0" xfId="5" applyNumberFormat="1" applyFont="1" applyBorder="1"/>
    <xf numFmtId="0" fontId="15" fillId="0" borderId="0" xfId="6" applyFont="1">
      <alignment vertical="center"/>
    </xf>
    <xf numFmtId="41" fontId="15" fillId="0" borderId="0" xfId="6" applyNumberFormat="1" applyFont="1">
      <alignment vertical="center"/>
    </xf>
    <xf numFmtId="43" fontId="15" fillId="0" borderId="0" xfId="6" applyNumberFormat="1" applyFont="1">
      <alignment vertical="center"/>
    </xf>
    <xf numFmtId="0" fontId="7" fillId="0" borderId="0" xfId="8" applyFont="1">
      <alignment vertical="center"/>
    </xf>
    <xf numFmtId="0" fontId="10" fillId="0" borderId="3" xfId="1" applyFont="1" applyBorder="1" applyAlignment="1">
      <alignment horizontal="center" vertical="center"/>
    </xf>
    <xf numFmtId="0" fontId="11" fillId="0" borderId="3" xfId="1" applyFont="1" applyBorder="1" applyAlignment="1">
      <alignment horizontal="center" vertical="center"/>
    </xf>
    <xf numFmtId="41" fontId="7" fillId="0" borderId="3" xfId="1" applyNumberFormat="1" applyFont="1" applyBorder="1" applyAlignment="1">
      <alignment horizontal="right" vertical="center"/>
    </xf>
    <xf numFmtId="0" fontId="29" fillId="0" borderId="3" xfId="1" applyFont="1" applyBorder="1" applyAlignment="1">
      <alignment horizontal="center" vertical="center"/>
    </xf>
    <xf numFmtId="0" fontId="29" fillId="0" borderId="6" xfId="1" applyFont="1" applyBorder="1" applyAlignment="1">
      <alignment horizontal="center" vertical="center"/>
    </xf>
    <xf numFmtId="0" fontId="7" fillId="0" borderId="1" xfId="3" applyFont="1" applyBorder="1" applyAlignment="1">
      <alignment horizontal="distributed" vertical="center" wrapText="1"/>
    </xf>
    <xf numFmtId="0" fontId="7" fillId="0" borderId="1" xfId="1" applyFont="1" applyBorder="1" applyAlignment="1">
      <alignment horizontal="right" vertical="center"/>
    </xf>
    <xf numFmtId="0" fontId="7" fillId="0" borderId="3" xfId="1" applyFont="1" applyBorder="1" applyAlignment="1">
      <alignment horizontal="center" vertical="center"/>
    </xf>
    <xf numFmtId="41" fontId="7" fillId="0" borderId="0" xfId="1" applyNumberFormat="1" applyFont="1" applyAlignment="1">
      <alignment horizontal="right" vertical="center" shrinkToFit="1"/>
    </xf>
    <xf numFmtId="41" fontId="7" fillId="0" borderId="1" xfId="1" applyNumberFormat="1" applyFont="1" applyBorder="1" applyAlignment="1">
      <alignment horizontal="right" vertical="center" shrinkToFit="1"/>
    </xf>
    <xf numFmtId="0" fontId="7" fillId="0" borderId="0" xfId="1" applyFont="1" applyAlignment="1">
      <alignment horizontal="center" vertical="center" shrinkToFit="1"/>
    </xf>
    <xf numFmtId="38" fontId="7" fillId="0" borderId="0" xfId="1" applyNumberFormat="1" applyFont="1" applyAlignment="1">
      <alignment horizontal="right" vertical="center" shrinkToFit="1"/>
    </xf>
    <xf numFmtId="0" fontId="7" fillId="0" borderId="1" xfId="1" applyFont="1" applyBorder="1" applyAlignment="1">
      <alignment horizontal="right"/>
    </xf>
    <xf numFmtId="38" fontId="7" fillId="0" borderId="1" xfId="1" applyNumberFormat="1" applyFont="1" applyBorder="1" applyAlignment="1">
      <alignment horizontal="right" vertical="center" shrinkToFit="1"/>
    </xf>
    <xf numFmtId="0" fontId="7" fillId="0" borderId="9" xfId="3" applyFont="1" applyBorder="1" applyAlignment="1">
      <alignment horizontal="distributed" vertical="center" wrapText="1"/>
    </xf>
    <xf numFmtId="41" fontId="7" fillId="0" borderId="9" xfId="1" applyNumberFormat="1" applyFont="1" applyBorder="1"/>
    <xf numFmtId="38" fontId="7" fillId="0" borderId="9" xfId="1" applyNumberFormat="1" applyFont="1" applyBorder="1" applyAlignment="1">
      <alignment horizontal="right" vertical="center" shrinkToFit="1"/>
    </xf>
    <xf numFmtId="41" fontId="7" fillId="0" borderId="12" xfId="1" applyNumberFormat="1" applyFont="1" applyBorder="1" applyAlignment="1">
      <alignment horizontal="right" vertical="center"/>
    </xf>
    <xf numFmtId="38" fontId="7" fillId="0" borderId="9" xfId="1" applyNumberFormat="1" applyFont="1" applyBorder="1" applyAlignment="1">
      <alignment horizontal="right" vertical="center"/>
    </xf>
    <xf numFmtId="38" fontId="7" fillId="0" borderId="0" xfId="1" applyNumberFormat="1" applyFont="1" applyAlignment="1">
      <alignment horizontal="right" vertical="center"/>
    </xf>
    <xf numFmtId="38" fontId="7" fillId="0" borderId="1" xfId="1" applyNumberFormat="1" applyFont="1" applyBorder="1" applyAlignment="1">
      <alignment horizontal="right" vertical="center"/>
    </xf>
    <xf numFmtId="0" fontId="7" fillId="0" borderId="0" xfId="1" applyFont="1" applyAlignment="1">
      <alignment horizontal="center" shrinkToFit="1"/>
    </xf>
    <xf numFmtId="0" fontId="9" fillId="0" borderId="0" xfId="1" applyFont="1" applyAlignment="1">
      <alignment horizontal="right" vertical="center"/>
    </xf>
    <xf numFmtId="38" fontId="7" fillId="0" borderId="12" xfId="1" applyNumberFormat="1" applyFont="1" applyBorder="1" applyAlignment="1">
      <alignment horizontal="right" vertical="center" shrinkToFit="1"/>
    </xf>
    <xf numFmtId="0" fontId="19" fillId="0" borderId="0" xfId="4" applyFont="1"/>
    <xf numFmtId="0" fontId="7" fillId="0" borderId="0" xfId="4" applyAlignment="1">
      <alignment horizontal="center" vertical="center" wrapText="1"/>
    </xf>
    <xf numFmtId="41" fontId="7" fillId="0" borderId="0" xfId="4" applyNumberFormat="1" applyAlignment="1">
      <alignment horizontal="center" vertical="center"/>
    </xf>
    <xf numFmtId="43" fontId="7" fillId="0" borderId="0" xfId="4" applyNumberFormat="1" applyAlignment="1">
      <alignment horizontal="center" vertical="center"/>
    </xf>
    <xf numFmtId="43" fontId="7" fillId="0" borderId="1" xfId="4" applyNumberFormat="1" applyBorder="1" applyAlignment="1">
      <alignment horizontal="center" vertical="center"/>
    </xf>
    <xf numFmtId="41" fontId="7" fillId="0" borderId="0" xfId="4" applyNumberFormat="1" applyAlignment="1">
      <alignment horizontal="right" vertical="center"/>
    </xf>
    <xf numFmtId="41" fontId="7" fillId="0" borderId="9" xfId="4" applyNumberFormat="1" applyBorder="1" applyAlignment="1">
      <alignment horizontal="right" vertical="center"/>
    </xf>
    <xf numFmtId="43" fontId="7" fillId="0" borderId="0" xfId="4" applyNumberFormat="1" applyAlignment="1">
      <alignment horizontal="right" vertical="center"/>
    </xf>
    <xf numFmtId="43" fontId="7" fillId="0" borderId="1" xfId="4" applyNumberFormat="1" applyBorder="1" applyAlignment="1">
      <alignment horizontal="right" vertical="center"/>
    </xf>
    <xf numFmtId="185" fontId="7" fillId="0" borderId="0" xfId="4" applyNumberFormat="1" applyAlignment="1">
      <alignment horizontal="right" vertical="center" indent="1"/>
    </xf>
    <xf numFmtId="185" fontId="7" fillId="0" borderId="9" xfId="4" applyNumberFormat="1" applyBorder="1" applyAlignment="1">
      <alignment horizontal="right" vertical="center" indent="1"/>
    </xf>
    <xf numFmtId="186" fontId="7" fillId="0" borderId="0" xfId="4" applyNumberFormat="1" applyAlignment="1">
      <alignment horizontal="right" vertical="center" indent="1"/>
    </xf>
    <xf numFmtId="186" fontId="7" fillId="0" borderId="1" xfId="4" applyNumberFormat="1" applyBorder="1" applyAlignment="1">
      <alignment horizontal="right" vertical="center" indent="1"/>
    </xf>
    <xf numFmtId="41" fontId="7" fillId="0" borderId="0" xfId="4" applyNumberFormat="1" applyAlignment="1">
      <alignment horizontal="center" vertical="center" wrapText="1"/>
    </xf>
    <xf numFmtId="0" fontId="23" fillId="0" borderId="0" xfId="4" applyFont="1"/>
    <xf numFmtId="41" fontId="7" fillId="0" borderId="1" xfId="4" applyNumberFormat="1" applyBorder="1" applyAlignment="1">
      <alignment horizontal="right" vertical="center"/>
    </xf>
    <xf numFmtId="0" fontId="7" fillId="0" borderId="1" xfId="4" applyBorder="1" applyAlignment="1">
      <alignment horizontal="distributed" vertical="center"/>
    </xf>
    <xf numFmtId="0" fontId="7" fillId="0" borderId="3" xfId="7" quotePrefix="1" applyFont="1" applyBorder="1" applyAlignment="1">
      <alignment horizontal="center" vertical="center"/>
    </xf>
    <xf numFmtId="41" fontId="7" fillId="0" borderId="9" xfId="6" applyNumberFormat="1" applyFont="1" applyBorder="1" applyAlignment="1">
      <alignment horizontal="right" vertical="center"/>
    </xf>
    <xf numFmtId="41" fontId="7" fillId="0" borderId="0" xfId="6" applyNumberFormat="1" applyFont="1" applyAlignment="1">
      <alignment horizontal="right" vertical="center"/>
    </xf>
    <xf numFmtId="0" fontId="9" fillId="0" borderId="3" xfId="1" applyFont="1" applyBorder="1" applyAlignment="1">
      <alignment horizontal="center" vertical="center"/>
    </xf>
    <xf numFmtId="0" fontId="15" fillId="0" borderId="9" xfId="1" applyFont="1" applyBorder="1" applyAlignment="1">
      <alignment vertical="center"/>
    </xf>
    <xf numFmtId="0" fontId="9" fillId="0" borderId="1" xfId="1" applyFont="1" applyBorder="1" applyAlignment="1">
      <alignment horizontal="right" vertical="center"/>
    </xf>
    <xf numFmtId="41" fontId="9" fillId="0" borderId="0" xfId="1" applyNumberFormat="1" applyFont="1" applyAlignment="1">
      <alignment horizontal="right" vertical="center" shrinkToFit="1"/>
    </xf>
    <xf numFmtId="2" fontId="10" fillId="0" borderId="0" xfId="1" applyNumberFormat="1" applyFont="1" applyAlignment="1">
      <alignment vertical="center"/>
    </xf>
    <xf numFmtId="188" fontId="7" fillId="0" borderId="0" xfId="1" applyNumberFormat="1" applyFont="1" applyAlignment="1">
      <alignment vertical="center"/>
    </xf>
    <xf numFmtId="189" fontId="7" fillId="0" borderId="0" xfId="1" applyNumberFormat="1" applyFont="1" applyAlignment="1">
      <alignment vertical="center"/>
    </xf>
    <xf numFmtId="0" fontId="0" fillId="0" borderId="3" xfId="1" applyFont="1" applyBorder="1" applyAlignment="1">
      <alignment horizontal="center" vertical="distributed" textRotation="255" indent="1"/>
    </xf>
    <xf numFmtId="0" fontId="7" fillId="0" borderId="3" xfId="1" applyFont="1" applyBorder="1" applyAlignment="1">
      <alignment horizontal="center" vertical="distributed" textRotation="255" indent="1"/>
    </xf>
    <xf numFmtId="0" fontId="10" fillId="0" borderId="9" xfId="1" applyFont="1" applyBorder="1" applyAlignment="1">
      <alignment horizontal="left" vertical="center"/>
    </xf>
    <xf numFmtId="0" fontId="1" fillId="0" borderId="3" xfId="1" applyFont="1" applyBorder="1" applyAlignment="1">
      <alignment horizontal="center" vertical="center"/>
    </xf>
    <xf numFmtId="0" fontId="1" fillId="0" borderId="3" xfId="1" applyFont="1" applyBorder="1" applyAlignment="1">
      <alignment horizontal="center" vertical="center" wrapText="1"/>
    </xf>
    <xf numFmtId="41" fontId="9" fillId="0" borderId="0" xfId="1" applyNumberFormat="1" applyFont="1" applyAlignment="1">
      <alignment horizontal="right"/>
    </xf>
    <xf numFmtId="0" fontId="1" fillId="0" borderId="0" xfId="1" applyFont="1" applyAlignment="1">
      <alignment vertical="center" shrinkToFit="1"/>
    </xf>
    <xf numFmtId="41" fontId="9" fillId="0" borderId="1" xfId="1" applyNumberFormat="1" applyFont="1" applyBorder="1" applyAlignment="1">
      <alignment horizontal="right"/>
    </xf>
    <xf numFmtId="0" fontId="1" fillId="0" borderId="1" xfId="1" applyFont="1" applyBorder="1" applyAlignment="1">
      <alignment vertical="center" shrinkToFit="1"/>
    </xf>
    <xf numFmtId="41" fontId="9" fillId="0" borderId="3" xfId="1" applyNumberFormat="1" applyFont="1" applyBorder="1" applyAlignment="1">
      <alignment horizontal="right" vertical="center"/>
    </xf>
    <xf numFmtId="38" fontId="9" fillId="0" borderId="0" xfId="1" applyNumberFormat="1" applyFont="1"/>
    <xf numFmtId="0" fontId="10" fillId="0" borderId="0" xfId="1" applyFont="1" applyAlignment="1">
      <alignment horizontal="left" vertical="center"/>
    </xf>
    <xf numFmtId="0" fontId="29" fillId="0" borderId="1" xfId="1" applyFont="1" applyBorder="1" applyAlignment="1">
      <alignment horizontal="center" vertical="center"/>
    </xf>
    <xf numFmtId="43" fontId="9" fillId="0" borderId="7" xfId="1" applyNumberFormat="1" applyFont="1" applyBorder="1" applyAlignment="1">
      <alignment horizontal="right" vertical="center"/>
    </xf>
    <xf numFmtId="41" fontId="9" fillId="0" borderId="8" xfId="1" applyNumberFormat="1" applyFont="1" applyBorder="1" applyAlignment="1">
      <alignment horizontal="right" vertical="center"/>
    </xf>
    <xf numFmtId="43" fontId="9" fillId="0" borderId="4" xfId="1" applyNumberFormat="1" applyFont="1" applyBorder="1" applyAlignment="1">
      <alignment horizontal="right" vertical="center"/>
    </xf>
    <xf numFmtId="41" fontId="9" fillId="0" borderId="11" xfId="1" applyNumberFormat="1" applyFont="1" applyBorder="1" applyAlignment="1">
      <alignment horizontal="right" vertical="center"/>
    </xf>
    <xf numFmtId="190" fontId="9" fillId="0" borderId="1" xfId="1" applyNumberFormat="1" applyFont="1" applyBorder="1" applyAlignment="1">
      <alignment horizontal="right" vertical="center"/>
    </xf>
    <xf numFmtId="190" fontId="7" fillId="0" borderId="0" xfId="1" applyNumberFormat="1" applyFont="1" applyAlignment="1">
      <alignment horizontal="right" vertical="center"/>
    </xf>
    <xf numFmtId="190" fontId="7" fillId="0" borderId="1" xfId="1" applyNumberFormat="1" applyFont="1" applyBorder="1" applyAlignment="1">
      <alignment horizontal="right" vertical="center"/>
    </xf>
    <xf numFmtId="0" fontId="2" fillId="0" borderId="0" xfId="3" applyFont="1" applyAlignment="1">
      <alignment horizontal="distributed" vertical="center" wrapText="1"/>
    </xf>
    <xf numFmtId="0" fontId="7" fillId="0" borderId="12" xfId="3" applyFont="1" applyBorder="1" applyAlignment="1">
      <alignment horizontal="distributed" vertical="center" wrapText="1"/>
    </xf>
    <xf numFmtId="178" fontId="7" fillId="0" borderId="12" xfId="1" applyNumberFormat="1" applyFont="1" applyBorder="1" applyAlignment="1">
      <alignment horizontal="right" vertical="center"/>
    </xf>
    <xf numFmtId="0" fontId="9" fillId="0" borderId="0" xfId="3" applyFont="1" applyAlignment="1">
      <alignment horizontal="distributed" vertical="center" wrapText="1"/>
    </xf>
    <xf numFmtId="0" fontId="9" fillId="0" borderId="1" xfId="3" applyFont="1" applyBorder="1" applyAlignment="1">
      <alignment horizontal="distributed" vertical="center" wrapText="1"/>
    </xf>
    <xf numFmtId="41" fontId="9" fillId="0" borderId="0" xfId="0" applyNumberFormat="1" applyFont="1">
      <alignment vertical="center"/>
    </xf>
    <xf numFmtId="41" fontId="9" fillId="0" borderId="0" xfId="0" applyNumberFormat="1" applyFont="1" applyAlignment="1">
      <alignment horizontal="right" vertical="center"/>
    </xf>
    <xf numFmtId="0" fontId="0" fillId="0" borderId="0" xfId="3" applyFont="1" applyAlignment="1">
      <alignment horizontal="distributed" vertical="center" wrapText="1"/>
    </xf>
    <xf numFmtId="0" fontId="7" fillId="0" borderId="0" xfId="4" applyAlignment="1">
      <alignment horizontal="center" vertical="center"/>
    </xf>
    <xf numFmtId="0" fontId="7" fillId="0" borderId="1" xfId="4" applyBorder="1" applyAlignment="1">
      <alignment horizontal="center" vertical="center"/>
    </xf>
    <xf numFmtId="0" fontId="7" fillId="0" borderId="0" xfId="4" applyAlignment="1">
      <alignment horizontal="distributed" vertical="distributed"/>
    </xf>
    <xf numFmtId="0" fontId="7" fillId="0" borderId="3" xfId="4" applyBorder="1" applyAlignment="1">
      <alignment horizontal="center" vertical="center"/>
    </xf>
    <xf numFmtId="0" fontId="7" fillId="0" borderId="0" xfId="4" applyAlignment="1">
      <alignment horizontal="distributed"/>
    </xf>
    <xf numFmtId="38" fontId="7" fillId="0" borderId="9" xfId="4" applyNumberFormat="1" applyBorder="1" applyAlignment="1">
      <alignment horizontal="right" vertical="center"/>
    </xf>
    <xf numFmtId="40" fontId="7" fillId="0" borderId="0" xfId="4" applyNumberFormat="1" applyAlignment="1">
      <alignment horizontal="right" vertical="center"/>
    </xf>
    <xf numFmtId="38" fontId="7" fillId="0" borderId="0" xfId="4" applyNumberFormat="1" applyAlignment="1">
      <alignment horizontal="right" vertical="center"/>
    </xf>
    <xf numFmtId="0" fontId="0" fillId="0" borderId="3" xfId="1" applyFont="1" applyBorder="1" applyAlignment="1">
      <alignment horizontal="center" vertical="center"/>
    </xf>
    <xf numFmtId="41" fontId="9" fillId="0" borderId="0" xfId="1" applyNumberFormat="1" applyFont="1" applyAlignment="1">
      <alignment vertical="center"/>
    </xf>
    <xf numFmtId="41" fontId="15" fillId="0" borderId="3" xfId="1" applyNumberFormat="1" applyFont="1" applyBorder="1" applyAlignment="1">
      <alignment horizontal="center" vertical="center"/>
    </xf>
    <xf numFmtId="43" fontId="15" fillId="0" borderId="3" xfId="1" applyNumberFormat="1" applyFont="1" applyBorder="1" applyAlignment="1">
      <alignment horizontal="center" vertical="center"/>
    </xf>
    <xf numFmtId="41" fontId="0" fillId="0" borderId="0" xfId="0" applyNumberFormat="1" applyAlignment="1">
      <alignment horizontal="right" vertical="center"/>
    </xf>
    <xf numFmtId="43" fontId="0" fillId="0" borderId="0" xfId="0" applyNumberFormat="1" applyAlignment="1">
      <alignment horizontal="right" vertical="center"/>
    </xf>
    <xf numFmtId="0" fontId="13" fillId="0" borderId="0" xfId="3" applyFont="1" applyAlignment="1">
      <alignment horizontal="distributed" vertical="center" wrapText="1"/>
    </xf>
    <xf numFmtId="0" fontId="0" fillId="0" borderId="0" xfId="1" applyFont="1" applyAlignment="1">
      <alignment horizontal="distributed" vertical="center"/>
    </xf>
    <xf numFmtId="0" fontId="7" fillId="0" borderId="0" xfId="1" applyFont="1" applyAlignment="1">
      <alignment horizontal="distributed" vertical="center"/>
    </xf>
    <xf numFmtId="0" fontId="13" fillId="0" borderId="0" xfId="1" applyFont="1" applyAlignment="1">
      <alignment horizontal="distributed" vertical="center"/>
    </xf>
    <xf numFmtId="0" fontId="7" fillId="0" borderId="1" xfId="1" applyFont="1" applyBorder="1" applyAlignment="1">
      <alignment horizontal="distributed" vertical="center"/>
    </xf>
    <xf numFmtId="41" fontId="0" fillId="0" borderId="1" xfId="0" applyNumberFormat="1" applyBorder="1" applyAlignment="1">
      <alignment horizontal="right" vertical="center"/>
    </xf>
    <xf numFmtId="43" fontId="0" fillId="0" borderId="1" xfId="0" applyNumberFormat="1" applyBorder="1" applyAlignment="1">
      <alignment horizontal="right" vertical="center"/>
    </xf>
    <xf numFmtId="180" fontId="7" fillId="0" borderId="0" xfId="1" applyNumberFormat="1" applyFont="1" applyAlignment="1">
      <alignment vertical="center"/>
    </xf>
    <xf numFmtId="0" fontId="24" fillId="0" borderId="0" xfId="1" applyFont="1" applyAlignment="1">
      <alignment vertical="center"/>
    </xf>
    <xf numFmtId="43" fontId="7" fillId="0" borderId="3" xfId="1" applyNumberFormat="1" applyFont="1" applyBorder="1" applyAlignment="1">
      <alignment horizontal="center" vertical="center"/>
    </xf>
    <xf numFmtId="179" fontId="7" fillId="0" borderId="0" xfId="1" applyNumberFormat="1" applyFont="1" applyAlignment="1">
      <alignment horizontal="right" vertical="center"/>
    </xf>
    <xf numFmtId="178" fontId="7" fillId="0" borderId="9" xfId="1" applyNumberFormat="1" applyFont="1" applyBorder="1" applyAlignment="1">
      <alignment horizontal="right" vertical="center"/>
    </xf>
    <xf numFmtId="179" fontId="7" fillId="0" borderId="12" xfId="1" applyNumberFormat="1" applyFont="1" applyBorder="1" applyAlignment="1">
      <alignment horizontal="right" vertical="center"/>
    </xf>
    <xf numFmtId="178" fontId="7" fillId="0" borderId="1" xfId="1" applyNumberFormat="1" applyFont="1" applyBorder="1" applyAlignment="1">
      <alignment horizontal="right" vertical="center"/>
    </xf>
    <xf numFmtId="179" fontId="7" fillId="0" borderId="1" xfId="1" applyNumberFormat="1" applyFont="1" applyBorder="1" applyAlignment="1">
      <alignment horizontal="right" vertical="center"/>
    </xf>
    <xf numFmtId="0" fontId="9" fillId="0" borderId="0" xfId="1" applyFont="1" applyAlignment="1">
      <alignment horizontal="center"/>
    </xf>
    <xf numFmtId="0" fontId="15" fillId="0" borderId="0" xfId="4" applyFont="1" applyAlignment="1">
      <alignment vertical="center"/>
    </xf>
    <xf numFmtId="178" fontId="7" fillId="0" borderId="0" xfId="1" applyNumberFormat="1" applyFont="1"/>
    <xf numFmtId="0" fontId="12" fillId="0" borderId="3" xfId="1" applyFont="1" applyBorder="1" applyAlignment="1">
      <alignment horizontal="center" vertical="center"/>
    </xf>
    <xf numFmtId="0" fontId="29" fillId="0" borderId="0" xfId="3" applyFont="1" applyAlignment="1">
      <alignment horizontal="distributed" vertical="center" wrapText="1"/>
    </xf>
    <xf numFmtId="179" fontId="9" fillId="0" borderId="0" xfId="1" applyNumberFormat="1" applyFont="1" applyAlignment="1">
      <alignment horizontal="right" vertical="center"/>
    </xf>
    <xf numFmtId="0" fontId="29" fillId="0" borderId="1" xfId="3" applyFont="1" applyBorder="1" applyAlignment="1">
      <alignment horizontal="distributed" vertical="center" wrapText="1"/>
    </xf>
    <xf numFmtId="179" fontId="9" fillId="0" borderId="1" xfId="1" applyNumberFormat="1" applyFont="1" applyBorder="1" applyAlignment="1">
      <alignment horizontal="right" vertical="center"/>
    </xf>
    <xf numFmtId="178" fontId="9" fillId="0" borderId="0" xfId="1" applyNumberFormat="1" applyFont="1" applyAlignment="1">
      <alignment vertical="center"/>
    </xf>
    <xf numFmtId="0" fontId="25" fillId="0" borderId="0" xfId="3" applyFont="1" applyAlignment="1">
      <alignment horizontal="distributed" vertical="center" wrapText="1"/>
    </xf>
    <xf numFmtId="0" fontId="25" fillId="0" borderId="3" xfId="1" applyFont="1" applyBorder="1" applyAlignment="1">
      <alignment horizontal="center" vertical="center"/>
    </xf>
    <xf numFmtId="178" fontId="15" fillId="0" borderId="0" xfId="4" applyNumberFormat="1" applyFont="1"/>
    <xf numFmtId="43" fontId="7" fillId="0" borderId="0" xfId="4" applyNumberFormat="1" applyAlignment="1">
      <alignment horizontal="right"/>
    </xf>
    <xf numFmtId="0" fontId="19" fillId="0" borderId="0" xfId="4" applyFont="1" applyAlignment="1">
      <alignment vertical="center"/>
    </xf>
    <xf numFmtId="184" fontId="15" fillId="0" borderId="0" xfId="4" applyNumberFormat="1" applyFont="1"/>
    <xf numFmtId="180" fontId="7" fillId="0" borderId="0" xfId="4" applyNumberFormat="1"/>
    <xf numFmtId="0" fontId="7" fillId="0" borderId="1" xfId="4" applyFill="1" applyBorder="1" applyAlignment="1">
      <alignment horizontal="center" vertical="center"/>
    </xf>
    <xf numFmtId="0" fontId="7" fillId="0" borderId="0" xfId="4" applyFill="1"/>
    <xf numFmtId="0" fontId="7" fillId="0" borderId="0" xfId="4" applyFill="1" applyAlignment="1">
      <alignment horizontal="distributed" vertical="distributed"/>
    </xf>
    <xf numFmtId="41" fontId="7" fillId="0" borderId="0" xfId="4" applyNumberFormat="1" applyFill="1" applyAlignment="1">
      <alignment horizontal="right" vertical="center"/>
    </xf>
    <xf numFmtId="41" fontId="7" fillId="0" borderId="9" xfId="4" applyNumberFormat="1" applyFill="1" applyBorder="1" applyAlignment="1">
      <alignment horizontal="right" vertical="center"/>
    </xf>
    <xf numFmtId="0" fontId="16" fillId="0" borderId="0" xfId="4" applyFont="1" applyFill="1"/>
    <xf numFmtId="0" fontId="7" fillId="0" borderId="3" xfId="4" applyFill="1" applyBorder="1" applyAlignment="1">
      <alignment horizontal="center" vertical="center"/>
    </xf>
    <xf numFmtId="41" fontId="7" fillId="0" borderId="0" xfId="4" applyNumberFormat="1" applyFill="1" applyAlignment="1">
      <alignment horizontal="center" vertical="center"/>
    </xf>
    <xf numFmtId="41" fontId="7" fillId="0" borderId="0" xfId="4" applyNumberFormat="1" applyFill="1"/>
    <xf numFmtId="43" fontId="7" fillId="0" borderId="0" xfId="4" applyNumberFormat="1" applyFill="1" applyAlignment="1">
      <alignment horizontal="center" vertical="center"/>
    </xf>
    <xf numFmtId="43" fontId="7" fillId="0" borderId="0" xfId="4" applyNumberFormat="1" applyFill="1" applyAlignment="1">
      <alignment horizontal="right" vertical="center"/>
    </xf>
    <xf numFmtId="43" fontId="7" fillId="0" borderId="0" xfId="4" applyNumberFormat="1" applyFill="1"/>
    <xf numFmtId="43" fontId="7" fillId="0" borderId="1" xfId="4" applyNumberFormat="1" applyFill="1" applyBorder="1" applyAlignment="1">
      <alignment horizontal="center" vertical="center"/>
    </xf>
    <xf numFmtId="43" fontId="7" fillId="0" borderId="1" xfId="4" applyNumberFormat="1" applyFill="1" applyBorder="1" applyAlignment="1">
      <alignment horizontal="right" vertical="center"/>
    </xf>
    <xf numFmtId="0" fontId="15" fillId="0" borderId="0" xfId="4" applyFont="1" applyFill="1"/>
    <xf numFmtId="38" fontId="7" fillId="0" borderId="0" xfId="4" applyNumberFormat="1" applyFill="1"/>
    <xf numFmtId="0" fontId="28" fillId="0" borderId="0" xfId="4" applyFont="1" applyFill="1"/>
    <xf numFmtId="0" fontId="15" fillId="0" borderId="0" xfId="4" applyFont="1" applyFill="1" applyAlignment="1">
      <alignment horizontal="center" vertical="center"/>
    </xf>
    <xf numFmtId="185" fontId="15" fillId="0" borderId="0" xfId="4" applyNumberFormat="1" applyFont="1" applyFill="1" applyAlignment="1">
      <alignment horizontal="right"/>
    </xf>
    <xf numFmtId="0" fontId="7" fillId="0" borderId="0" xfId="4" applyFill="1" applyAlignment="1">
      <alignment horizontal="center" vertical="center"/>
    </xf>
    <xf numFmtId="185" fontId="7" fillId="0" borderId="0" xfId="4" applyNumberFormat="1" applyFill="1" applyAlignment="1">
      <alignment horizontal="right"/>
    </xf>
    <xf numFmtId="0" fontId="7" fillId="0" borderId="0" xfId="4" applyFill="1" applyAlignment="1">
      <alignment horizontal="distributed"/>
    </xf>
    <xf numFmtId="186" fontId="7" fillId="0" borderId="0" xfId="4" applyNumberFormat="1" applyFill="1" applyAlignment="1">
      <alignment horizontal="right"/>
    </xf>
    <xf numFmtId="0" fontId="7" fillId="0" borderId="0" xfId="1" applyFont="1" applyAlignment="1">
      <alignment vertical="center"/>
    </xf>
    <xf numFmtId="0" fontId="7" fillId="0" borderId="0" xfId="3" applyFont="1" applyBorder="1" applyAlignment="1">
      <alignment horizontal="distributed" vertical="center" wrapText="1"/>
    </xf>
    <xf numFmtId="41" fontId="7" fillId="0" borderId="0" xfId="1" applyNumberFormat="1" applyFont="1" applyBorder="1" applyAlignment="1">
      <alignment horizontal="right" vertical="center"/>
    </xf>
    <xf numFmtId="43" fontId="7" fillId="0" borderId="0" xfId="1" applyNumberFormat="1" applyFont="1" applyBorder="1" applyAlignment="1">
      <alignment horizontal="right" vertical="center" shrinkToFit="1"/>
    </xf>
    <xf numFmtId="41" fontId="7" fillId="0" borderId="9" xfId="1" applyNumberFormat="1" applyFont="1" applyFill="1" applyBorder="1" applyAlignment="1">
      <alignment horizontal="right" vertical="center" shrinkToFit="1"/>
    </xf>
    <xf numFmtId="40" fontId="9" fillId="0" borderId="0" xfId="4" applyNumberFormat="1" applyFont="1" applyFill="1" applyAlignment="1">
      <alignment horizontal="right" vertical="center"/>
    </xf>
    <xf numFmtId="40" fontId="7" fillId="0" borderId="1" xfId="4" applyNumberFormat="1" applyBorder="1" applyAlignment="1">
      <alignment horizontal="right" vertical="center"/>
    </xf>
    <xf numFmtId="0" fontId="7" fillId="0" borderId="3" xfId="1" applyFont="1" applyBorder="1" applyAlignment="1">
      <alignment horizontal="center" vertical="center"/>
    </xf>
    <xf numFmtId="0" fontId="7" fillId="0" borderId="0" xfId="1" applyFont="1" applyAlignment="1">
      <alignment horizontal="center" vertical="center"/>
    </xf>
    <xf numFmtId="0" fontId="7" fillId="0" borderId="0" xfId="1" applyFont="1"/>
    <xf numFmtId="0" fontId="7" fillId="0" borderId="9" xfId="1" applyFont="1" applyBorder="1" applyAlignment="1">
      <alignment horizontal="center" vertical="center"/>
    </xf>
    <xf numFmtId="0" fontId="7" fillId="0" borderId="13" xfId="1" applyFont="1" applyBorder="1" applyAlignment="1">
      <alignment horizontal="center" vertical="center"/>
    </xf>
    <xf numFmtId="0" fontId="7" fillId="0" borderId="9" xfId="4" applyBorder="1"/>
    <xf numFmtId="0" fontId="9" fillId="0" borderId="9" xfId="1" applyFont="1" applyBorder="1" applyAlignment="1">
      <alignment horizontal="center" vertical="center"/>
    </xf>
    <xf numFmtId="0" fontId="9" fillId="0" borderId="0" xfId="1" applyFont="1" applyAlignment="1">
      <alignment horizontal="center" vertical="center"/>
    </xf>
    <xf numFmtId="0" fontId="9" fillId="0" borderId="3" xfId="1" applyFont="1" applyBorder="1" applyAlignment="1">
      <alignment horizontal="center" vertical="center"/>
    </xf>
    <xf numFmtId="0" fontId="7" fillId="0" borderId="0" xfId="1" applyFont="1" applyBorder="1" applyAlignment="1">
      <alignment horizontal="center" vertical="center"/>
    </xf>
    <xf numFmtId="38" fontId="7" fillId="0" borderId="12" xfId="1" applyNumberFormat="1" applyFont="1" applyBorder="1" applyAlignment="1">
      <alignment horizontal="right" vertical="center"/>
    </xf>
    <xf numFmtId="42" fontId="7" fillId="0" borderId="12" xfId="1" applyNumberFormat="1" applyFont="1" applyBorder="1" applyAlignment="1">
      <alignment horizontal="right" vertical="center"/>
    </xf>
    <xf numFmtId="42" fontId="7" fillId="0" borderId="0" xfId="1" applyNumberFormat="1" applyFont="1" applyBorder="1" applyAlignment="1">
      <alignment horizontal="right" vertical="center"/>
    </xf>
    <xf numFmtId="42" fontId="7" fillId="0" borderId="1" xfId="1" applyNumberFormat="1" applyFont="1" applyBorder="1" applyAlignment="1">
      <alignment horizontal="right" vertical="center"/>
    </xf>
    <xf numFmtId="0" fontId="9" fillId="0" borderId="1" xfId="1" applyFont="1" applyFill="1" applyBorder="1" applyAlignment="1">
      <alignment horizontal="right"/>
    </xf>
    <xf numFmtId="38" fontId="9" fillId="0" borderId="1" xfId="1" applyNumberFormat="1" applyFont="1" applyFill="1" applyBorder="1" applyAlignment="1">
      <alignment horizontal="right" vertical="center" shrinkToFit="1"/>
    </xf>
    <xf numFmtId="177" fontId="9" fillId="0" borderId="1" xfId="1" applyNumberFormat="1" applyFont="1" applyFill="1" applyBorder="1" applyAlignment="1">
      <alignment horizontal="right" vertical="center"/>
    </xf>
    <xf numFmtId="42" fontId="7" fillId="0" borderId="0" xfId="1" applyNumberFormat="1" applyFont="1" applyAlignment="1">
      <alignment horizontal="right" vertical="center"/>
    </xf>
    <xf numFmtId="0" fontId="7" fillId="0" borderId="1" xfId="4" applyFont="1" applyBorder="1" applyAlignment="1">
      <alignment horizontal="center" vertical="center"/>
    </xf>
    <xf numFmtId="0" fontId="7" fillId="0" borderId="3" xfId="4" applyFont="1" applyBorder="1" applyAlignment="1">
      <alignment horizontal="center" vertical="center"/>
    </xf>
    <xf numFmtId="41" fontId="7" fillId="0" borderId="0" xfId="4" applyNumberFormat="1" applyFont="1" applyAlignment="1">
      <alignment horizontal="center" vertical="center"/>
    </xf>
    <xf numFmtId="41" fontId="7" fillId="0" borderId="0" xfId="4" applyNumberFormat="1" applyFont="1" applyAlignment="1">
      <alignment horizontal="right" vertical="center"/>
    </xf>
    <xf numFmtId="41" fontId="7" fillId="0" borderId="9" xfId="4" applyNumberFormat="1" applyFont="1" applyBorder="1" applyAlignment="1">
      <alignment horizontal="right" vertical="center"/>
    </xf>
    <xf numFmtId="43" fontId="7" fillId="0" borderId="0" xfId="4" applyNumberFormat="1" applyFont="1" applyAlignment="1">
      <alignment horizontal="center" vertical="center"/>
    </xf>
    <xf numFmtId="43" fontId="7" fillId="0" borderId="0" xfId="4" applyNumberFormat="1" applyFont="1" applyAlignment="1">
      <alignment horizontal="right" vertical="center"/>
    </xf>
    <xf numFmtId="41" fontId="9" fillId="0" borderId="0" xfId="4" applyNumberFormat="1" applyFont="1" applyFill="1" applyAlignment="1">
      <alignment horizontal="center" vertical="center"/>
    </xf>
    <xf numFmtId="41" fontId="9" fillId="0" borderId="0" xfId="4" applyNumberFormat="1" applyFont="1" applyFill="1" applyAlignment="1">
      <alignment horizontal="right" vertical="center"/>
    </xf>
    <xf numFmtId="43" fontId="7" fillId="0" borderId="1" xfId="4" applyNumberFormat="1" applyFont="1" applyBorder="1" applyAlignment="1">
      <alignment horizontal="center" vertical="center"/>
    </xf>
    <xf numFmtId="43" fontId="7" fillId="0" borderId="1" xfId="4" applyNumberFormat="1" applyFont="1" applyBorder="1" applyAlignment="1">
      <alignment horizontal="right" vertical="center"/>
    </xf>
    <xf numFmtId="0" fontId="9" fillId="0" borderId="0" xfId="3" applyFont="1" applyFill="1" applyAlignment="1">
      <alignment horizontal="distributed" vertical="center" wrapText="1"/>
    </xf>
    <xf numFmtId="41" fontId="9" fillId="0" borderId="0" xfId="1" applyNumberFormat="1" applyFont="1" applyFill="1" applyAlignment="1">
      <alignment horizontal="right" vertical="center"/>
    </xf>
    <xf numFmtId="43" fontId="9" fillId="0" borderId="0" xfId="1" applyNumberFormat="1" applyFont="1" applyFill="1" applyAlignment="1">
      <alignment horizontal="right" vertical="center"/>
    </xf>
    <xf numFmtId="41" fontId="9" fillId="0" borderId="1" xfId="0" applyNumberFormat="1" applyFont="1" applyBorder="1">
      <alignment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3" fillId="0" borderId="0" xfId="1" applyFont="1" applyAlignment="1">
      <alignment horizontal="center" vertical="center"/>
    </xf>
    <xf numFmtId="0" fontId="10" fillId="0" borderId="1" xfId="1" applyFont="1" applyBorder="1" applyAlignment="1">
      <alignment horizontal="right"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9" fillId="0" borderId="3" xfId="1" applyFont="1" applyBorder="1" applyAlignment="1">
      <alignment horizontal="distributed" vertical="center" indent="2"/>
    </xf>
    <xf numFmtId="0" fontId="7" fillId="0" borderId="3" xfId="1" applyFont="1" applyBorder="1" applyAlignment="1">
      <alignment horizontal="center" vertical="center"/>
    </xf>
    <xf numFmtId="0" fontId="13" fillId="0" borderId="0" xfId="1" applyFont="1" applyAlignment="1">
      <alignment horizontal="left" vertical="center"/>
    </xf>
    <xf numFmtId="0" fontId="1" fillId="0" borderId="9" xfId="1" applyFont="1" applyBorder="1" applyAlignment="1">
      <alignment horizontal="center" vertical="center"/>
    </xf>
    <xf numFmtId="0" fontId="9" fillId="0" borderId="9" xfId="1" applyFont="1" applyBorder="1"/>
    <xf numFmtId="42" fontId="9" fillId="0" borderId="0" xfId="1" applyNumberFormat="1" applyFont="1" applyAlignment="1">
      <alignment horizontal="right"/>
    </xf>
    <xf numFmtId="0" fontId="11" fillId="0" borderId="0" xfId="1" applyFont="1" applyAlignment="1">
      <alignment horizontal="left" vertical="center"/>
    </xf>
    <xf numFmtId="0" fontId="1" fillId="0" borderId="0" xfId="1" applyFont="1" applyAlignment="1">
      <alignment horizontal="left"/>
    </xf>
    <xf numFmtId="0" fontId="9" fillId="0" borderId="0" xfId="1" applyFont="1" applyAlignment="1">
      <alignment horizontal="left"/>
    </xf>
    <xf numFmtId="42" fontId="9" fillId="0" borderId="0" xfId="1" applyNumberFormat="1" applyFont="1" applyAlignment="1">
      <alignment horizontal="right" vertical="center"/>
    </xf>
    <xf numFmtId="42" fontId="31" fillId="0" borderId="0" xfId="1" applyNumberFormat="1" applyFont="1" applyAlignment="1">
      <alignment horizontal="right" vertical="center"/>
    </xf>
    <xf numFmtId="0" fontId="20" fillId="0" borderId="0" xfId="1" applyFont="1" applyAlignment="1">
      <alignment horizontal="left"/>
    </xf>
    <xf numFmtId="0" fontId="1" fillId="0" borderId="0" xfId="1" applyFont="1"/>
    <xf numFmtId="0" fontId="9" fillId="0" borderId="0" xfId="1" applyFont="1"/>
    <xf numFmtId="0" fontId="9" fillId="0" borderId="3" xfId="1" applyFont="1" applyBorder="1" applyAlignment="1">
      <alignment horizontal="center"/>
    </xf>
    <xf numFmtId="0" fontId="10" fillId="0" borderId="9" xfId="1" applyFont="1" applyBorder="1" applyAlignment="1">
      <alignment horizontal="left" vertical="center"/>
    </xf>
    <xf numFmtId="0" fontId="33" fillId="0" borderId="0" xfId="1" applyFont="1" applyAlignment="1">
      <alignment horizontal="left"/>
    </xf>
    <xf numFmtId="0" fontId="1" fillId="0" borderId="9" xfId="1" applyFont="1" applyBorder="1" applyAlignment="1">
      <alignment horizontal="center" vertical="center" textRotation="255"/>
    </xf>
    <xf numFmtId="0" fontId="9" fillId="0" borderId="0" xfId="1" applyFont="1" applyAlignment="1">
      <alignment horizontal="center" vertical="center" textRotation="255"/>
    </xf>
    <xf numFmtId="0" fontId="20" fillId="0" borderId="9" xfId="1" applyFont="1" applyBorder="1" applyAlignment="1">
      <alignment horizontal="left"/>
    </xf>
    <xf numFmtId="0" fontId="9" fillId="0" borderId="9" xfId="1" applyFont="1" applyBorder="1" applyAlignment="1">
      <alignment horizontal="left"/>
    </xf>
    <xf numFmtId="42" fontId="31" fillId="0" borderId="0" xfId="1" applyNumberFormat="1" applyFont="1" applyAlignment="1">
      <alignment horizontal="right"/>
    </xf>
    <xf numFmtId="0" fontId="1" fillId="0" borderId="0" xfId="1" applyFont="1" applyAlignment="1">
      <alignment horizontal="center" vertical="center" textRotation="255" shrinkToFit="1"/>
    </xf>
    <xf numFmtId="0" fontId="1" fillId="0" borderId="1" xfId="1" applyFont="1" applyBorder="1" applyAlignment="1">
      <alignment horizontal="center" vertical="center" textRotation="255" shrinkToFit="1"/>
    </xf>
    <xf numFmtId="0" fontId="9" fillId="0" borderId="0" xfId="1" applyFont="1" applyAlignment="1">
      <alignment horizontal="center"/>
    </xf>
    <xf numFmtId="0" fontId="1" fillId="0" borderId="9" xfId="1" applyFont="1" applyBorder="1" applyAlignment="1">
      <alignment horizontal="center"/>
    </xf>
    <xf numFmtId="0" fontId="9" fillId="0" borderId="9" xfId="1" applyFont="1" applyBorder="1" applyAlignment="1">
      <alignment horizontal="center"/>
    </xf>
    <xf numFmtId="42" fontId="9" fillId="0" borderId="1" xfId="1" applyNumberFormat="1" applyFont="1" applyBorder="1" applyAlignment="1">
      <alignment horizontal="right"/>
    </xf>
    <xf numFmtId="0" fontId="16" fillId="0" borderId="0" xfId="1" applyFont="1" applyAlignment="1">
      <alignment horizontal="center" vertical="center"/>
    </xf>
    <xf numFmtId="0" fontId="16" fillId="0" borderId="1" xfId="1" applyFont="1" applyBorder="1" applyAlignment="1">
      <alignment horizontal="center" vertical="center"/>
    </xf>
    <xf numFmtId="0" fontId="7" fillId="0" borderId="9" xfId="1" applyFont="1" applyBorder="1" applyAlignment="1">
      <alignment horizontal="center" vertical="center" textRotation="255"/>
    </xf>
    <xf numFmtId="0" fontId="7" fillId="0" borderId="0" xfId="1" applyFont="1" applyAlignment="1">
      <alignment horizontal="center" vertical="center" textRotation="255"/>
    </xf>
    <xf numFmtId="0" fontId="7" fillId="0" borderId="9" xfId="1" applyFont="1" applyBorder="1" applyAlignment="1">
      <alignment horizontal="center" vertical="distributed" textRotation="255" indent="1"/>
    </xf>
    <xf numFmtId="0" fontId="7" fillId="0" borderId="0" xfId="1" applyFont="1" applyAlignment="1">
      <alignment horizontal="center" vertical="distributed" textRotation="255" indent="1"/>
    </xf>
    <xf numFmtId="0" fontId="7" fillId="0" borderId="1" xfId="1" applyFont="1" applyBorder="1" applyAlignment="1">
      <alignment horizontal="center" vertical="distributed" textRotation="255" indent="1"/>
    </xf>
    <xf numFmtId="0" fontId="0" fillId="0" borderId="3" xfId="1" applyFont="1" applyBorder="1" applyAlignment="1">
      <alignment horizontal="distributed" vertical="center" indent="2"/>
    </xf>
    <xf numFmtId="0" fontId="7" fillId="0" borderId="3" xfId="1" applyFont="1" applyBorder="1" applyAlignment="1">
      <alignment horizontal="distributed" vertical="center" indent="2"/>
    </xf>
    <xf numFmtId="0" fontId="0" fillId="0" borderId="9" xfId="1" applyFont="1" applyBorder="1" applyAlignment="1">
      <alignment horizontal="center" vertical="distributed" textRotation="255" indent="1"/>
    </xf>
    <xf numFmtId="0" fontId="15" fillId="0" borderId="0" xfId="1" applyFont="1" applyAlignment="1">
      <alignment horizontal="left" vertical="center"/>
    </xf>
    <xf numFmtId="0" fontId="2" fillId="0" borderId="0" xfId="1" applyAlignment="1">
      <alignment horizontal="left" vertical="center"/>
    </xf>
    <xf numFmtId="0" fontId="7" fillId="0" borderId="3" xfId="1" applyFont="1" applyBorder="1" applyAlignment="1">
      <alignment horizontal="center"/>
    </xf>
    <xf numFmtId="0" fontId="7" fillId="0" borderId="0" xfId="1" applyFont="1" applyAlignment="1">
      <alignment horizontal="center" vertical="center"/>
    </xf>
    <xf numFmtId="0" fontId="7" fillId="0" borderId="1" xfId="1" applyFont="1" applyBorder="1" applyAlignment="1">
      <alignment horizontal="center" vertical="center"/>
    </xf>
    <xf numFmtId="0" fontId="7" fillId="0" borderId="9" xfId="1" applyFont="1" applyBorder="1" applyAlignment="1">
      <alignment horizontal="left" indent="1"/>
    </xf>
    <xf numFmtId="0" fontId="0" fillId="0" borderId="0" xfId="1" applyFont="1" applyAlignment="1">
      <alignment horizontal="left" vertical="center" indent="3"/>
    </xf>
    <xf numFmtId="0" fontId="7" fillId="0" borderId="0" xfId="1" applyFont="1" applyAlignment="1">
      <alignment horizontal="left" vertical="center" indent="3"/>
    </xf>
    <xf numFmtId="0" fontId="0" fillId="0" borderId="0" xfId="1" applyFont="1" applyAlignment="1">
      <alignment horizontal="left" vertical="center" indent="5"/>
    </xf>
    <xf numFmtId="0" fontId="7" fillId="0" borderId="0" xfId="1" applyFont="1" applyAlignment="1">
      <alignment horizontal="left" vertical="center" indent="5"/>
    </xf>
    <xf numFmtId="44" fontId="0" fillId="0" borderId="0" xfId="1" applyNumberFormat="1" applyFont="1" applyAlignment="1">
      <alignment horizontal="right" vertical="center"/>
    </xf>
    <xf numFmtId="44" fontId="7" fillId="0" borderId="0" xfId="1" applyNumberFormat="1" applyFont="1" applyAlignment="1">
      <alignment horizontal="right" vertical="center"/>
    </xf>
    <xf numFmtId="0" fontId="7" fillId="0" borderId="0" xfId="1" applyFont="1" applyAlignment="1">
      <alignment horizontal="left" indent="3"/>
    </xf>
    <xf numFmtId="0" fontId="22" fillId="0" borderId="1" xfId="1" applyFont="1" applyBorder="1" applyAlignment="1">
      <alignment horizontal="left" indent="3"/>
    </xf>
    <xf numFmtId="0" fontId="7" fillId="0" borderId="1" xfId="1" applyFont="1" applyBorder="1" applyAlignment="1">
      <alignment horizontal="left" indent="3"/>
    </xf>
    <xf numFmtId="0" fontId="7" fillId="0" borderId="0" xfId="1" applyFont="1"/>
    <xf numFmtId="0" fontId="7" fillId="0" borderId="0" xfId="1" applyFont="1" applyAlignment="1">
      <alignment horizontal="left" indent="1"/>
    </xf>
    <xf numFmtId="44" fontId="2" fillId="0" borderId="0" xfId="1" applyNumberFormat="1" applyAlignment="1">
      <alignment horizontal="right" vertical="center"/>
    </xf>
    <xf numFmtId="0" fontId="29" fillId="0" borderId="3" xfId="1" applyFont="1" applyBorder="1" applyAlignment="1">
      <alignment horizontal="distributed" vertical="center" indent="2"/>
    </xf>
    <xf numFmtId="0" fontId="29" fillId="0" borderId="10" xfId="1" applyFont="1" applyBorder="1" applyAlignment="1">
      <alignment horizontal="distributed" vertical="center" indent="2"/>
    </xf>
    <xf numFmtId="0" fontId="29" fillId="0" borderId="9" xfId="1" applyFont="1" applyBorder="1" applyAlignment="1">
      <alignment horizontal="distributed" vertical="center" indent="2"/>
    </xf>
    <xf numFmtId="0" fontId="29" fillId="0" borderId="11" xfId="1" applyFont="1" applyBorder="1" applyAlignment="1">
      <alignment horizontal="distributed" indent="2"/>
    </xf>
    <xf numFmtId="0" fontId="29" fillId="0" borderId="1" xfId="1" applyFont="1" applyBorder="1" applyAlignment="1">
      <alignment horizontal="distributed" indent="2"/>
    </xf>
    <xf numFmtId="0" fontId="29" fillId="0" borderId="5" xfId="1" applyFont="1" applyBorder="1" applyAlignment="1">
      <alignment horizontal="distributed" vertical="center" indent="2"/>
    </xf>
    <xf numFmtId="0" fontId="29" fillId="0" borderId="9" xfId="1" applyFont="1" applyBorder="1" applyAlignment="1">
      <alignment horizontal="center" vertical="center"/>
    </xf>
    <xf numFmtId="0" fontId="29" fillId="0" borderId="1" xfId="1" applyFont="1" applyBorder="1" applyAlignment="1">
      <alignment horizontal="center" vertical="center"/>
    </xf>
    <xf numFmtId="0" fontId="29" fillId="0" borderId="6" xfId="1" applyFont="1" applyBorder="1" applyAlignment="1">
      <alignment horizontal="distributed" vertical="center" indent="2"/>
    </xf>
    <xf numFmtId="0" fontId="10" fillId="0" borderId="9" xfId="1" applyFont="1" applyBorder="1" applyAlignment="1">
      <alignment horizontal="left" vertical="center" wrapText="1"/>
    </xf>
    <xf numFmtId="0" fontId="10" fillId="0" borderId="0" xfId="1" applyFont="1" applyAlignment="1">
      <alignment horizontal="left" vertical="top" wrapText="1"/>
    </xf>
    <xf numFmtId="0" fontId="29" fillId="0" borderId="2" xfId="1" applyFont="1" applyBorder="1" applyAlignment="1">
      <alignment horizontal="center" vertical="center"/>
    </xf>
    <xf numFmtId="0" fontId="29" fillId="0" borderId="4" xfId="1" applyFont="1" applyBorder="1" applyAlignment="1">
      <alignment horizontal="center" vertical="center"/>
    </xf>
    <xf numFmtId="0" fontId="15" fillId="0" borderId="0" xfId="1" applyFont="1" applyAlignment="1">
      <alignment horizontal="left" vertical="center" wrapText="1"/>
    </xf>
    <xf numFmtId="0" fontId="3" fillId="0" borderId="1" xfId="1" applyFont="1" applyBorder="1" applyAlignment="1">
      <alignment horizontal="center" vertical="center"/>
    </xf>
    <xf numFmtId="0" fontId="15" fillId="0" borderId="0" xfId="1" applyFont="1"/>
    <xf numFmtId="0" fontId="7" fillId="0" borderId="14" xfId="1" applyFont="1" applyBorder="1" applyAlignment="1">
      <alignment horizontal="center" vertical="center"/>
    </xf>
    <xf numFmtId="0" fontId="15" fillId="0" borderId="0" xfId="1" applyFont="1" applyAlignment="1">
      <alignment vertical="center"/>
    </xf>
    <xf numFmtId="0" fontId="7" fillId="0" borderId="0" xfId="1" applyFont="1" applyAlignment="1">
      <alignment vertical="center"/>
    </xf>
    <xf numFmtId="0" fontId="15" fillId="0" borderId="9" xfId="3" applyFont="1" applyBorder="1" applyAlignment="1">
      <alignment horizontal="left" vertical="center" wrapText="1"/>
    </xf>
    <xf numFmtId="0" fontId="15" fillId="0" borderId="0" xfId="3" applyFont="1" applyAlignment="1">
      <alignment horizontal="left" vertical="center" wrapText="1"/>
    </xf>
    <xf numFmtId="0" fontId="7" fillId="0" borderId="9" xfId="1" applyFont="1" applyBorder="1" applyAlignment="1">
      <alignment horizontal="center" vertical="center"/>
    </xf>
    <xf numFmtId="0" fontId="9" fillId="0" borderId="3" xfId="1" applyFont="1" applyBorder="1" applyAlignment="1">
      <alignment horizontal="center" vertical="center"/>
    </xf>
    <xf numFmtId="0" fontId="7" fillId="0" borderId="3" xfId="1" applyFont="1" applyBorder="1" applyAlignment="1">
      <alignment horizontal="center" vertical="center" shrinkToFit="1"/>
    </xf>
    <xf numFmtId="0" fontId="9" fillId="0" borderId="1" xfId="1" applyFont="1" applyBorder="1" applyAlignment="1">
      <alignment horizontal="center" vertical="center"/>
    </xf>
    <xf numFmtId="0" fontId="15" fillId="0" borderId="0" xfId="1" applyFont="1" applyAlignment="1">
      <alignment horizontal="left"/>
    </xf>
    <xf numFmtId="0" fontId="15" fillId="0" borderId="0" xfId="1" applyFont="1" applyAlignment="1">
      <alignment horizontal="left" vertical="top" wrapText="1"/>
    </xf>
    <xf numFmtId="0" fontId="19" fillId="0" borderId="0" xfId="1" applyFont="1" applyAlignment="1">
      <alignment horizontal="left" wrapText="1"/>
    </xf>
    <xf numFmtId="0" fontId="19" fillId="0" borderId="0" xfId="1" applyFont="1" applyAlignment="1">
      <alignment horizontal="left"/>
    </xf>
    <xf numFmtId="0" fontId="15" fillId="0" borderId="0" xfId="1" applyFont="1" applyAlignment="1">
      <alignment horizontal="left" wrapText="1"/>
    </xf>
    <xf numFmtId="0" fontId="0" fillId="0" borderId="3" xfId="1" applyFont="1" applyBorder="1" applyAlignment="1">
      <alignment horizontal="center" vertical="center"/>
    </xf>
    <xf numFmtId="0" fontId="7" fillId="0" borderId="3" xfId="1" applyFont="1" applyBorder="1" applyAlignment="1">
      <alignment horizontal="center" shrinkToFit="1"/>
    </xf>
    <xf numFmtId="0" fontId="19" fillId="0" borderId="0" xfId="1" applyFont="1" applyAlignment="1">
      <alignment vertical="top" wrapText="1"/>
    </xf>
    <xf numFmtId="0" fontId="19" fillId="0" borderId="0" xfId="1" applyFont="1" applyAlignment="1">
      <alignment horizontal="left" vertical="center"/>
    </xf>
    <xf numFmtId="0" fontId="7" fillId="0" borderId="13" xfId="1" applyFont="1" applyBorder="1" applyAlignment="1">
      <alignment horizontal="center" vertical="center"/>
    </xf>
    <xf numFmtId="0" fontId="15" fillId="0" borderId="9" xfId="1" applyFont="1" applyBorder="1" applyAlignment="1">
      <alignment horizontal="left" vertical="center"/>
    </xf>
    <xf numFmtId="0" fontId="15" fillId="0" borderId="9" xfId="1" applyFont="1" applyBorder="1" applyAlignment="1">
      <alignment horizontal="left"/>
    </xf>
    <xf numFmtId="0" fontId="7" fillId="0" borderId="0" xfId="1" applyFont="1" applyAlignment="1">
      <alignment horizontal="left"/>
    </xf>
    <xf numFmtId="0" fontId="11" fillId="0" borderId="0" xfId="1" applyFont="1" applyAlignment="1">
      <alignment horizontal="left" vertical="top" wrapText="1"/>
    </xf>
    <xf numFmtId="0" fontId="10" fillId="0" borderId="0" xfId="1" applyFont="1" applyAlignment="1">
      <alignment horizontal="left" vertical="top"/>
    </xf>
    <xf numFmtId="0" fontId="29" fillId="0" borderId="13" xfId="1" applyFont="1" applyBorder="1" applyAlignment="1">
      <alignment horizontal="center" vertical="center"/>
    </xf>
    <xf numFmtId="0" fontId="29" fillId="0" borderId="0" xfId="1" applyFont="1" applyAlignment="1">
      <alignment horizontal="center" vertical="center"/>
    </xf>
    <xf numFmtId="0" fontId="9" fillId="0" borderId="14" xfId="1" applyFont="1" applyBorder="1" applyAlignment="1">
      <alignment horizontal="center" vertical="center"/>
    </xf>
    <xf numFmtId="0" fontId="15" fillId="0" borderId="9" xfId="1" applyFont="1" applyBorder="1" applyAlignment="1">
      <alignment vertical="center"/>
    </xf>
    <xf numFmtId="0" fontId="15" fillId="0" borderId="0" xfId="1" applyFont="1" applyBorder="1" applyAlignment="1">
      <alignment horizontal="left" vertical="center"/>
    </xf>
    <xf numFmtId="0" fontId="15" fillId="0" borderId="9" xfId="1" applyFont="1" applyBorder="1" applyAlignment="1">
      <alignment horizontal="left" vertical="center" wrapText="1"/>
    </xf>
    <xf numFmtId="0" fontId="15" fillId="0" borderId="9" xfId="1" applyFont="1" applyBorder="1" applyAlignment="1">
      <alignment vertical="center" wrapText="1"/>
    </xf>
    <xf numFmtId="0" fontId="15" fillId="0" borderId="0" xfId="1" applyFont="1" applyAlignment="1">
      <alignment vertical="center" wrapText="1"/>
    </xf>
    <xf numFmtId="0" fontId="7" fillId="0" borderId="0" xfId="1" applyFont="1" applyAlignment="1">
      <alignment vertical="center" wrapText="1"/>
    </xf>
    <xf numFmtId="0" fontId="16" fillId="0" borderId="1" xfId="4" applyFont="1" applyBorder="1" applyAlignment="1">
      <alignment horizontal="center" vertical="center"/>
    </xf>
    <xf numFmtId="0" fontId="13" fillId="0" borderId="0" xfId="4" applyFont="1" applyAlignment="1">
      <alignment horizontal="center" vertical="distributed" textRotation="255" indent="2"/>
    </xf>
    <xf numFmtId="0" fontId="0" fillId="0" borderId="0" xfId="4" applyFont="1" applyAlignment="1">
      <alignment horizontal="center" vertical="distributed" textRotation="255" indent="2"/>
    </xf>
    <xf numFmtId="0" fontId="7" fillId="0" borderId="0" xfId="4" applyAlignment="1">
      <alignment horizontal="center" vertical="distributed" textRotation="255" indent="2"/>
    </xf>
    <xf numFmtId="0" fontId="7" fillId="0" borderId="1" xfId="4" applyBorder="1" applyAlignment="1">
      <alignment horizontal="center" vertical="distributed" textRotation="255" indent="2"/>
    </xf>
    <xf numFmtId="38" fontId="7" fillId="0" borderId="9" xfId="4" applyNumberFormat="1" applyBorder="1" applyAlignment="1">
      <alignment horizontal="center" vertical="distributed"/>
    </xf>
    <xf numFmtId="0" fontId="7" fillId="0" borderId="9" xfId="4" applyBorder="1" applyAlignment="1">
      <alignment horizontal="center" vertical="distributed"/>
    </xf>
    <xf numFmtId="0" fontId="13" fillId="0" borderId="0" xfId="4" applyFont="1" applyAlignment="1">
      <alignment horizontal="center" vertical="distributed"/>
    </xf>
    <xf numFmtId="0" fontId="7" fillId="0" borderId="0" xfId="4" applyAlignment="1">
      <alignment horizontal="center" vertical="distributed"/>
    </xf>
    <xf numFmtId="0" fontId="7" fillId="0" borderId="0" xfId="4" applyAlignment="1">
      <alignment horizontal="center" vertical="center"/>
    </xf>
    <xf numFmtId="0" fontId="0" fillId="0" borderId="0" xfId="4" applyFont="1" applyAlignment="1">
      <alignment horizontal="center" vertical="distributed"/>
    </xf>
    <xf numFmtId="0" fontId="7" fillId="0" borderId="1" xfId="4" applyBorder="1" applyAlignment="1">
      <alignment horizontal="center" vertical="center"/>
    </xf>
    <xf numFmtId="0" fontId="3" fillId="0" borderId="0" xfId="4" applyFont="1" applyAlignment="1">
      <alignment horizontal="center" vertical="center"/>
    </xf>
    <xf numFmtId="0" fontId="7" fillId="0" borderId="9" xfId="4" applyBorder="1" applyAlignment="1">
      <alignment horizontal="distributed" vertical="distributed"/>
    </xf>
    <xf numFmtId="0" fontId="7" fillId="0" borderId="0" xfId="4" applyAlignment="1">
      <alignment horizontal="distributed" vertical="distributed"/>
    </xf>
    <xf numFmtId="0" fontId="7" fillId="0" borderId="3" xfId="4" applyBorder="1" applyAlignment="1">
      <alignment horizontal="center" vertical="center"/>
    </xf>
    <xf numFmtId="0" fontId="7" fillId="0" borderId="1" xfId="4" applyBorder="1" applyAlignment="1">
      <alignment horizontal="distributed" vertical="distributed"/>
    </xf>
    <xf numFmtId="0" fontId="3" fillId="0" borderId="1" xfId="4" applyFont="1" applyBorder="1" applyAlignment="1">
      <alignment horizontal="center" vertical="center"/>
    </xf>
    <xf numFmtId="0" fontId="7" fillId="0" borderId="9" xfId="4" applyBorder="1" applyAlignment="1">
      <alignment horizontal="distributed" vertical="center"/>
    </xf>
    <xf numFmtId="0" fontId="7" fillId="0" borderId="0" xfId="4" applyAlignment="1">
      <alignment horizontal="distributed" vertical="center"/>
    </xf>
    <xf numFmtId="0" fontId="7" fillId="0" borderId="3" xfId="4" applyBorder="1" applyAlignment="1">
      <alignment horizontal="center" vertical="center" wrapText="1"/>
    </xf>
    <xf numFmtId="0" fontId="9" fillId="0" borderId="0" xfId="4" applyFont="1" applyAlignment="1">
      <alignment horizontal="distributed" vertical="center" wrapText="1"/>
    </xf>
    <xf numFmtId="0" fontId="3" fillId="0" borderId="0" xfId="4" applyFont="1"/>
    <xf numFmtId="0" fontId="7" fillId="0" borderId="9" xfId="4" applyFont="1" applyBorder="1" applyAlignment="1">
      <alignment horizontal="distributed" vertical="distributed"/>
    </xf>
    <xf numFmtId="0" fontId="7" fillId="0" borderId="0" xfId="4" applyFont="1" applyBorder="1" applyAlignment="1">
      <alignment horizontal="distributed" vertical="distributed"/>
    </xf>
    <xf numFmtId="0" fontId="7" fillId="0" borderId="3" xfId="4" applyFont="1" applyBorder="1" applyAlignment="1">
      <alignment horizontal="center" vertical="center"/>
    </xf>
    <xf numFmtId="0" fontId="7" fillId="0" borderId="0" xfId="4" applyFont="1" applyAlignment="1">
      <alignment horizontal="distributed" vertical="distributed"/>
    </xf>
    <xf numFmtId="0" fontId="7" fillId="0" borderId="0" xfId="4" applyFont="1" applyAlignment="1">
      <alignment horizontal="distributed" vertical="center"/>
    </xf>
    <xf numFmtId="0" fontId="9" fillId="0" borderId="0" xfId="4" applyFont="1" applyAlignment="1">
      <alignment horizontal="distributed" vertical="center"/>
    </xf>
    <xf numFmtId="0" fontId="7" fillId="0" borderId="1" xfId="4" applyFont="1" applyBorder="1" applyAlignment="1">
      <alignment horizontal="distributed" vertical="distributed"/>
    </xf>
    <xf numFmtId="0" fontId="9" fillId="0" borderId="0" xfId="4" applyFont="1" applyFill="1" applyAlignment="1">
      <alignment horizontal="distributed" vertical="center"/>
    </xf>
    <xf numFmtId="0" fontId="16" fillId="0" borderId="0" xfId="4" applyFont="1" applyAlignment="1">
      <alignment horizontal="center" vertical="center"/>
    </xf>
    <xf numFmtId="0" fontId="16" fillId="0" borderId="0" xfId="4" applyFont="1"/>
    <xf numFmtId="0" fontId="15" fillId="0" borderId="0" xfId="4" applyFont="1" applyAlignment="1">
      <alignment horizontal="left" vertical="center" wrapText="1"/>
    </xf>
    <xf numFmtId="0" fontId="7" fillId="0" borderId="0" xfId="4" applyAlignment="1">
      <alignment horizontal="distributed" vertical="center" wrapText="1"/>
    </xf>
    <xf numFmtId="0" fontId="7" fillId="0" borderId="0" xfId="4" applyAlignment="1">
      <alignment horizontal="distributed"/>
    </xf>
    <xf numFmtId="0" fontId="7" fillId="0" borderId="1" xfId="4" applyBorder="1" applyAlignment="1">
      <alignment horizontal="distributed"/>
    </xf>
    <xf numFmtId="0" fontId="15" fillId="0" borderId="0" xfId="4" applyFont="1" applyAlignment="1">
      <alignment vertical="center"/>
    </xf>
    <xf numFmtId="0" fontId="7" fillId="0" borderId="0" xfId="4" applyFill="1" applyAlignment="1">
      <alignment horizontal="distributed" vertical="distributed"/>
    </xf>
    <xf numFmtId="0" fontId="15" fillId="0" borderId="0" xfId="4" applyFont="1" applyFill="1" applyAlignment="1">
      <alignment horizontal="left" wrapText="1"/>
    </xf>
    <xf numFmtId="0" fontId="15" fillId="0" borderId="0" xfId="4" applyFont="1" applyFill="1" applyAlignment="1">
      <alignment horizontal="left"/>
    </xf>
    <xf numFmtId="0" fontId="7" fillId="0" borderId="1" xfId="4" applyFill="1" applyBorder="1" applyAlignment="1">
      <alignment horizontal="distributed" vertical="distributed"/>
    </xf>
    <xf numFmtId="0" fontId="15" fillId="0" borderId="0" xfId="4" applyFont="1" applyFill="1"/>
    <xf numFmtId="0" fontId="16" fillId="0" borderId="0" xfId="4" applyFont="1" applyFill="1" applyAlignment="1">
      <alignment horizontal="center" vertical="center"/>
    </xf>
    <xf numFmtId="0" fontId="16" fillId="0" borderId="0" xfId="4" applyFont="1" applyFill="1"/>
    <xf numFmtId="0" fontId="7" fillId="0" borderId="9" xfId="4" applyFill="1" applyBorder="1" applyAlignment="1">
      <alignment horizontal="distributed" vertical="distributed"/>
    </xf>
    <xf numFmtId="0" fontId="7" fillId="0" borderId="3" xfId="4" applyFill="1" applyBorder="1" applyAlignment="1">
      <alignment horizontal="center" vertical="center"/>
    </xf>
    <xf numFmtId="0" fontId="15" fillId="0" borderId="0" xfId="4" applyFont="1" applyAlignment="1">
      <alignment horizontal="left" wrapText="1"/>
    </xf>
    <xf numFmtId="0" fontId="15" fillId="0" borderId="0" xfId="4" applyFont="1" applyAlignment="1">
      <alignment horizontal="left"/>
    </xf>
    <xf numFmtId="0" fontId="7" fillId="0" borderId="0" xfId="4" applyAlignment="1">
      <alignment horizontal="left" vertical="distributed"/>
    </xf>
    <xf numFmtId="0" fontId="7" fillId="0" borderId="0" xfId="4" applyAlignment="1">
      <alignment horizontal="left" vertical="center"/>
    </xf>
    <xf numFmtId="0" fontId="7" fillId="0" borderId="1" xfId="4" applyBorder="1" applyAlignment="1">
      <alignment horizontal="left" vertical="center"/>
    </xf>
    <xf numFmtId="0" fontId="22" fillId="0" borderId="0" xfId="4" applyFont="1" applyAlignment="1">
      <alignment horizontal="left" vertical="top" wrapText="1"/>
    </xf>
    <xf numFmtId="0" fontId="22" fillId="0" borderId="0" xfId="4" applyFont="1" applyAlignment="1">
      <alignment horizontal="left" vertical="top"/>
    </xf>
  </cellXfs>
  <cellStyles count="10">
    <cellStyle name="一般" xfId="0" builtinId="0"/>
    <cellStyle name="一般 10" xfId="6"/>
    <cellStyle name="一般 2 3" xfId="3"/>
    <cellStyle name="一般 2 4" xfId="1"/>
    <cellStyle name="一般 4 2 2 2" xfId="8"/>
    <cellStyle name="一般_95年終部長重要指標簡短(矯正)" xfId="7"/>
    <cellStyle name="一般_表4-3-5~16少輔" xfId="4"/>
    <cellStyle name="千分位 8" xfId="2"/>
    <cellStyle name="千分位 8 2" xfId="9"/>
    <cellStyle name="千分位[0]_表4-3-5~16少輔"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20"/>
  <sheetViews>
    <sheetView showGridLines="0" tabSelected="1" showRuler="0" zoomScale="115" zoomScaleNormal="115" zoomScalePageLayoutView="125" workbookViewId="0">
      <selection activeCell="F17" sqref="F17"/>
    </sheetView>
  </sheetViews>
  <sheetFormatPr defaultColWidth="9" defaultRowHeight="20.100000000000001" customHeight="1"/>
  <cols>
    <col min="1" max="1" width="9.125" style="1" customWidth="1"/>
    <col min="2" max="7" width="13.625" style="1" customWidth="1"/>
    <col min="8" max="16384" width="9" style="1"/>
  </cols>
  <sheetData>
    <row r="1" spans="1:13" ht="20.100000000000001" customHeight="1">
      <c r="A1" s="297" t="s">
        <v>528</v>
      </c>
      <c r="B1" s="297"/>
      <c r="C1" s="297"/>
      <c r="D1" s="297"/>
      <c r="E1" s="297"/>
      <c r="F1" s="297"/>
      <c r="G1" s="297"/>
    </row>
    <row r="2" spans="1:13" ht="20.100000000000001" customHeight="1">
      <c r="A2" s="2"/>
      <c r="B2" s="3"/>
      <c r="C2" s="3"/>
      <c r="D2" s="3"/>
      <c r="E2" s="3"/>
      <c r="F2" s="298" t="s">
        <v>368</v>
      </c>
      <c r="G2" s="298"/>
    </row>
    <row r="3" spans="1:13" ht="20.100000000000001" customHeight="1">
      <c r="A3" s="299"/>
      <c r="B3" s="301" t="s">
        <v>370</v>
      </c>
      <c r="C3" s="301"/>
      <c r="D3" s="301"/>
      <c r="E3" s="301" t="s">
        <v>369</v>
      </c>
      <c r="F3" s="301"/>
      <c r="G3" s="301"/>
    </row>
    <row r="4" spans="1:13" ht="20.100000000000001" customHeight="1">
      <c r="A4" s="300"/>
      <c r="B4" s="109" t="s">
        <v>371</v>
      </c>
      <c r="C4" s="108" t="s">
        <v>0</v>
      </c>
      <c r="D4" s="108" t="s">
        <v>1</v>
      </c>
      <c r="E4" s="109" t="s">
        <v>372</v>
      </c>
      <c r="F4" s="108" t="s">
        <v>2</v>
      </c>
      <c r="G4" s="108" t="s">
        <v>1</v>
      </c>
    </row>
    <row r="5" spans="1:13" ht="20.100000000000001" customHeight="1">
      <c r="A5" s="8" t="s">
        <v>556</v>
      </c>
      <c r="B5" s="4">
        <v>1832716</v>
      </c>
      <c r="C5" s="4">
        <v>15078</v>
      </c>
      <c r="D5" s="6">
        <f t="shared" ref="D5:D14" si="0">C5/B5*100000</f>
        <v>822.71339367365158</v>
      </c>
      <c r="E5" s="5">
        <v>18845589</v>
      </c>
      <c r="F5" s="4">
        <v>246343</v>
      </c>
      <c r="G5" s="6">
        <f t="shared" ref="G5:G14" si="1">F5/E5*100000</f>
        <v>1307.1653000604015</v>
      </c>
      <c r="I5" s="196"/>
      <c r="J5" s="73"/>
      <c r="K5" s="196"/>
      <c r="L5" s="73"/>
      <c r="M5" s="73"/>
    </row>
    <row r="6" spans="1:13" ht="20.100000000000001" customHeight="1">
      <c r="A6" s="8" t="s">
        <v>557</v>
      </c>
      <c r="B6" s="4">
        <v>1791110</v>
      </c>
      <c r="C6" s="4">
        <v>12038</v>
      </c>
      <c r="D6" s="6">
        <f t="shared" si="0"/>
        <v>672.09719112728976</v>
      </c>
      <c r="E6" s="5">
        <v>19025376</v>
      </c>
      <c r="F6" s="4">
        <v>242635</v>
      </c>
      <c r="G6" s="6">
        <f t="shared" si="1"/>
        <v>1275.3230212112496</v>
      </c>
      <c r="I6" s="196"/>
      <c r="J6" s="73"/>
      <c r="K6" s="196"/>
      <c r="L6" s="73"/>
      <c r="M6" s="73"/>
    </row>
    <row r="7" spans="1:13" ht="20.100000000000001" customHeight="1">
      <c r="A7" s="8" t="s">
        <v>558</v>
      </c>
      <c r="B7" s="4">
        <v>1719628</v>
      </c>
      <c r="C7" s="4">
        <v>10969</v>
      </c>
      <c r="D7" s="6">
        <f t="shared" si="0"/>
        <v>637.87051618140663</v>
      </c>
      <c r="E7" s="5">
        <v>19199546</v>
      </c>
      <c r="F7" s="4">
        <v>250029</v>
      </c>
      <c r="G7" s="6">
        <f t="shared" si="1"/>
        <v>1302.2651681451218</v>
      </c>
      <c r="I7" s="196"/>
      <c r="J7" s="73"/>
      <c r="K7" s="196"/>
      <c r="L7" s="73"/>
      <c r="M7" s="73"/>
    </row>
    <row r="8" spans="1:13" ht="20.100000000000001" customHeight="1">
      <c r="A8" s="8" t="s">
        <v>559</v>
      </c>
      <c r="B8" s="4">
        <v>1634004</v>
      </c>
      <c r="C8" s="4">
        <v>11002</v>
      </c>
      <c r="D8" s="6">
        <f t="shared" si="0"/>
        <v>673.31536520106442</v>
      </c>
      <c r="E8" s="5">
        <v>19366339</v>
      </c>
      <c r="F8" s="4">
        <v>257794</v>
      </c>
      <c r="G8" s="6">
        <f t="shared" si="1"/>
        <v>1331.1447248754657</v>
      </c>
      <c r="I8" s="196"/>
      <c r="J8" s="73"/>
      <c r="K8" s="196"/>
      <c r="L8" s="73"/>
      <c r="M8" s="73"/>
    </row>
    <row r="9" spans="1:13" s="7" customFormat="1" ht="20.100000000000001" customHeight="1">
      <c r="A9" s="8" t="s">
        <v>560</v>
      </c>
      <c r="B9" s="4">
        <v>1561916</v>
      </c>
      <c r="C9" s="4">
        <v>9775</v>
      </c>
      <c r="D9" s="6">
        <f t="shared" si="0"/>
        <v>625.8339116828306</v>
      </c>
      <c r="E9" s="5">
        <v>19500665</v>
      </c>
      <c r="F9" s="4">
        <v>262585</v>
      </c>
      <c r="G9" s="6">
        <f t="shared" si="1"/>
        <v>1346.5438229927031</v>
      </c>
      <c r="I9" s="196"/>
      <c r="J9" s="73"/>
      <c r="K9" s="196"/>
      <c r="L9" s="73"/>
      <c r="M9" s="73"/>
    </row>
    <row r="10" spans="1:13" s="7" customFormat="1" ht="20.100000000000001" customHeight="1">
      <c r="A10" s="8" t="s">
        <v>561</v>
      </c>
      <c r="B10" s="4">
        <v>1500217</v>
      </c>
      <c r="C10" s="4">
        <v>10499</v>
      </c>
      <c r="D10" s="6">
        <f t="shared" si="0"/>
        <v>699.83209095750817</v>
      </c>
      <c r="E10" s="5">
        <v>19611597</v>
      </c>
      <c r="F10" s="4">
        <v>276321</v>
      </c>
      <c r="G10" s="6">
        <f t="shared" si="1"/>
        <v>1408.9673574263227</v>
      </c>
      <c r="I10" s="196"/>
      <c r="J10" s="196"/>
      <c r="K10" s="196"/>
      <c r="L10" s="196"/>
      <c r="M10" s="73"/>
    </row>
    <row r="11" spans="1:13" s="7" customFormat="1" ht="20.100000000000001" customHeight="1">
      <c r="A11" s="8" t="s">
        <v>562</v>
      </c>
      <c r="B11" s="4">
        <v>1413345</v>
      </c>
      <c r="C11" s="4">
        <v>8893</v>
      </c>
      <c r="D11" s="6">
        <f t="shared" si="0"/>
        <v>629.21650410904624</v>
      </c>
      <c r="E11" s="5">
        <v>19740490</v>
      </c>
      <c r="F11" s="4">
        <v>282328</v>
      </c>
      <c r="G11" s="6">
        <f t="shared" si="1"/>
        <v>1430.1975280248869</v>
      </c>
      <c r="I11" s="196"/>
      <c r="J11" s="196"/>
      <c r="K11" s="196"/>
      <c r="L11" s="196"/>
      <c r="M11" s="73"/>
    </row>
    <row r="12" spans="1:13" s="7" customFormat="1" ht="20.100000000000001" customHeight="1">
      <c r="A12" s="8" t="s">
        <v>563</v>
      </c>
      <c r="B12" s="4">
        <v>1338302</v>
      </c>
      <c r="C12" s="4">
        <v>9441</v>
      </c>
      <c r="D12" s="6">
        <f t="shared" si="0"/>
        <v>705.44615490375111</v>
      </c>
      <c r="E12" s="5">
        <v>19855664</v>
      </c>
      <c r="F12" s="4">
        <v>267781</v>
      </c>
      <c r="G12" s="6">
        <f t="shared" si="1"/>
        <v>1348.6378496332331</v>
      </c>
      <c r="I12" s="196"/>
      <c r="J12" s="196"/>
      <c r="K12" s="196"/>
      <c r="L12" s="196"/>
      <c r="M12" s="73"/>
    </row>
    <row r="13" spans="1:13" s="7" customFormat="1" ht="20.100000000000001" customHeight="1">
      <c r="A13" s="8" t="s">
        <v>564</v>
      </c>
      <c r="B13" s="4">
        <v>1287900</v>
      </c>
      <c r="C13" s="4">
        <v>10226</v>
      </c>
      <c r="D13" s="6">
        <f t="shared" si="0"/>
        <v>794.00574578771636</v>
      </c>
      <c r="E13" s="5">
        <v>19923092</v>
      </c>
      <c r="F13" s="4">
        <v>271366</v>
      </c>
      <c r="G13" s="6">
        <f t="shared" si="1"/>
        <v>1362.0676951147946</v>
      </c>
      <c r="I13" s="196"/>
      <c r="J13" s="196"/>
      <c r="K13" s="196"/>
      <c r="L13" s="196"/>
      <c r="M13" s="73"/>
    </row>
    <row r="14" spans="1:13" ht="20.100000000000001" customHeight="1">
      <c r="A14" s="3" t="s">
        <v>565</v>
      </c>
      <c r="B14" s="9">
        <v>1242387</v>
      </c>
      <c r="C14" s="9">
        <v>9627</v>
      </c>
      <c r="D14" s="11">
        <f t="shared" si="0"/>
        <v>774.87932504123114</v>
      </c>
      <c r="E14" s="10">
        <v>19901442</v>
      </c>
      <c r="F14" s="9">
        <v>255593</v>
      </c>
      <c r="G14" s="11">
        <f t="shared" si="1"/>
        <v>1284.2938717706988</v>
      </c>
      <c r="I14" s="196"/>
      <c r="J14" s="196"/>
      <c r="K14" s="196"/>
      <c r="L14" s="196"/>
      <c r="M14" s="73"/>
    </row>
    <row r="15" spans="1:13" ht="15.75">
      <c r="A15" s="13" t="s">
        <v>439</v>
      </c>
      <c r="B15" s="13"/>
      <c r="C15" s="12"/>
      <c r="D15" s="12"/>
      <c r="E15" s="12"/>
      <c r="F15" s="12"/>
      <c r="G15" s="12"/>
      <c r="H15" s="14"/>
      <c r="I15" s="73"/>
      <c r="J15" s="73"/>
    </row>
    <row r="16" spans="1:13" ht="29.25" customHeight="1">
      <c r="A16" s="295" t="s">
        <v>810</v>
      </c>
      <c r="B16" s="296"/>
      <c r="C16" s="296"/>
      <c r="D16" s="296"/>
      <c r="E16" s="296"/>
      <c r="F16" s="15"/>
      <c r="G16" s="15"/>
    </row>
    <row r="17" spans="3:3" ht="15.75"/>
    <row r="20" spans="3:3" ht="20.100000000000001" customHeight="1">
      <c r="C20" s="16"/>
    </row>
  </sheetData>
  <mergeCells count="6">
    <mergeCell ref="A16:E16"/>
    <mergeCell ref="A1:G1"/>
    <mergeCell ref="F2:G2"/>
    <mergeCell ref="A3:A4"/>
    <mergeCell ref="B3:D3"/>
    <mergeCell ref="E3:G3"/>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95"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8"/>
  <sheetViews>
    <sheetView showGridLines="0" showRuler="0" zoomScaleNormal="100" zoomScalePageLayoutView="125" workbookViewId="0">
      <pane xSplit="1" topLeftCell="B1" activePane="topRight" state="frozen"/>
      <selection activeCell="F17" sqref="F17"/>
      <selection pane="topRight" activeCell="F17" sqref="F17"/>
    </sheetView>
  </sheetViews>
  <sheetFormatPr defaultColWidth="9" defaultRowHeight="15.75"/>
  <cols>
    <col min="1" max="1" width="26.875" style="1" customWidth="1"/>
    <col min="2" max="2" width="8.625" style="1" customWidth="1"/>
    <col min="3" max="3" width="8.5" style="1" customWidth="1"/>
    <col min="4" max="4" width="8.875" style="1" customWidth="1"/>
    <col min="5" max="5" width="9.5" style="1" bestFit="1" customWidth="1"/>
    <col min="6" max="6" width="8.5" style="1" customWidth="1"/>
    <col min="7" max="8" width="8.125" style="1" customWidth="1"/>
    <col min="9" max="9" width="8.5" style="1" customWidth="1"/>
    <col min="10" max="11" width="9.5" style="1" bestFit="1" customWidth="1"/>
    <col min="12" max="16384" width="9" style="1"/>
  </cols>
  <sheetData>
    <row r="1" spans="1:11" ht="20.25" customHeight="1">
      <c r="A1" s="297" t="s">
        <v>849</v>
      </c>
      <c r="B1" s="297"/>
      <c r="C1" s="297"/>
      <c r="D1" s="297"/>
      <c r="E1" s="297"/>
      <c r="F1" s="297"/>
      <c r="G1" s="297"/>
      <c r="H1" s="297"/>
      <c r="I1" s="297"/>
      <c r="J1" s="297"/>
      <c r="K1" s="297"/>
    </row>
    <row r="2" spans="1:11" ht="20.100000000000001" customHeight="1">
      <c r="A2" s="18"/>
      <c r="B2" s="379" t="s">
        <v>611</v>
      </c>
      <c r="C2" s="302"/>
      <c r="D2" s="379" t="s">
        <v>612</v>
      </c>
      <c r="E2" s="302"/>
      <c r="F2" s="379" t="s">
        <v>613</v>
      </c>
      <c r="G2" s="302"/>
      <c r="H2" s="379" t="s">
        <v>614</v>
      </c>
      <c r="I2" s="302"/>
      <c r="J2" s="379" t="s">
        <v>615</v>
      </c>
      <c r="K2" s="302"/>
    </row>
    <row r="3" spans="1:11" s="30" customFormat="1" ht="20.100000000000001" customHeight="1">
      <c r="B3" s="115" t="s">
        <v>143</v>
      </c>
      <c r="C3" s="115" t="s">
        <v>122</v>
      </c>
      <c r="D3" s="115" t="s">
        <v>143</v>
      </c>
      <c r="E3" s="115" t="s">
        <v>122</v>
      </c>
      <c r="F3" s="115" t="s">
        <v>143</v>
      </c>
      <c r="G3" s="115" t="s">
        <v>122</v>
      </c>
      <c r="H3" s="115" t="s">
        <v>143</v>
      </c>
      <c r="I3" s="115" t="s">
        <v>122</v>
      </c>
      <c r="J3" s="115" t="s">
        <v>143</v>
      </c>
      <c r="K3" s="115" t="s">
        <v>144</v>
      </c>
    </row>
    <row r="4" spans="1:11" ht="16.5" customHeight="1">
      <c r="A4" s="46" t="s">
        <v>145</v>
      </c>
      <c r="B4" s="76">
        <f t="shared" ref="B4:K4" si="0">SUM(B5:B13)</f>
        <v>11383</v>
      </c>
      <c r="C4" s="20">
        <f t="shared" si="0"/>
        <v>99.999999999999986</v>
      </c>
      <c r="D4" s="76">
        <f t="shared" si="0"/>
        <v>10374</v>
      </c>
      <c r="E4" s="20">
        <f t="shared" si="0"/>
        <v>100.00000000000001</v>
      </c>
      <c r="F4" s="76">
        <f t="shared" si="0"/>
        <v>9359</v>
      </c>
      <c r="G4" s="20">
        <f t="shared" si="0"/>
        <v>99.999999999999986</v>
      </c>
      <c r="H4" s="76">
        <f t="shared" si="0"/>
        <v>8568</v>
      </c>
      <c r="I4" s="20">
        <f t="shared" si="0"/>
        <v>100</v>
      </c>
      <c r="J4" s="76">
        <f t="shared" si="0"/>
        <v>8132</v>
      </c>
      <c r="K4" s="20">
        <f t="shared" si="0"/>
        <v>99.999999999999986</v>
      </c>
    </row>
    <row r="5" spans="1:11" ht="20.100000000000001" customHeight="1">
      <c r="A5" s="46" t="s">
        <v>815</v>
      </c>
      <c r="B5" s="27">
        <v>5211</v>
      </c>
      <c r="C5" s="21">
        <f t="shared" ref="C5:C13" si="1">IFERROR(B5/B$4*100,"-")</f>
        <v>45.778792936835636</v>
      </c>
      <c r="D5" s="27">
        <v>5209</v>
      </c>
      <c r="E5" s="21">
        <f t="shared" ref="E5:E13" si="2">IFERROR(D5/D$4*100,"-")</f>
        <v>50.212068633121262</v>
      </c>
      <c r="F5" s="27">
        <v>4674</v>
      </c>
      <c r="G5" s="21">
        <f t="shared" ref="G5:G13" si="3">IFERROR(F5/F$4*100,"-")</f>
        <v>49.941233037717701</v>
      </c>
      <c r="H5" s="27">
        <v>4361</v>
      </c>
      <c r="I5" s="21">
        <f t="shared" ref="I5:I13" si="4">IFERROR(H5/H$4*100,"-")</f>
        <v>50.898692810457511</v>
      </c>
      <c r="J5" s="27">
        <v>4375</v>
      </c>
      <c r="K5" s="21">
        <f t="shared" ref="K5:K13" si="5">IFERROR(J5/J$4*100,"-")</f>
        <v>53.799803246433839</v>
      </c>
    </row>
    <row r="6" spans="1:11" ht="20.100000000000001" customHeight="1">
      <c r="A6" s="46" t="s">
        <v>150</v>
      </c>
      <c r="B6" s="27">
        <v>4591</v>
      </c>
      <c r="C6" s="21">
        <f t="shared" si="1"/>
        <v>40.332074145655803</v>
      </c>
      <c r="D6" s="27">
        <v>3859</v>
      </c>
      <c r="E6" s="21">
        <f t="shared" si="2"/>
        <v>37.198766146134567</v>
      </c>
      <c r="F6" s="27">
        <v>3518</v>
      </c>
      <c r="G6" s="21">
        <f t="shared" si="3"/>
        <v>37.589486056202588</v>
      </c>
      <c r="H6" s="27">
        <v>3117</v>
      </c>
      <c r="I6" s="21">
        <f t="shared" si="4"/>
        <v>36.379551820728288</v>
      </c>
      <c r="J6" s="27">
        <v>2816</v>
      </c>
      <c r="K6" s="21">
        <f t="shared" si="5"/>
        <v>34.628627643876051</v>
      </c>
    </row>
    <row r="7" spans="1:11" ht="20.100000000000001" customHeight="1">
      <c r="A7" s="46" t="s">
        <v>149</v>
      </c>
      <c r="B7" s="27">
        <v>1318</v>
      </c>
      <c r="C7" s="21">
        <f t="shared" si="1"/>
        <v>11.578669946411315</v>
      </c>
      <c r="D7" s="27">
        <v>1093</v>
      </c>
      <c r="E7" s="21">
        <f t="shared" si="2"/>
        <v>10.535955272797377</v>
      </c>
      <c r="F7" s="27">
        <v>939</v>
      </c>
      <c r="G7" s="21">
        <f t="shared" si="3"/>
        <v>10.033123196922748</v>
      </c>
      <c r="H7" s="27">
        <v>882</v>
      </c>
      <c r="I7" s="21">
        <f t="shared" si="4"/>
        <v>10.294117647058822</v>
      </c>
      <c r="J7" s="27">
        <v>742</v>
      </c>
      <c r="K7" s="21">
        <f t="shared" si="5"/>
        <v>9.1244466305951804</v>
      </c>
    </row>
    <row r="8" spans="1:11" ht="20.100000000000001" customHeight="1">
      <c r="A8" s="46" t="s">
        <v>148</v>
      </c>
      <c r="B8" s="27">
        <v>123</v>
      </c>
      <c r="C8" s="21">
        <f t="shared" si="1"/>
        <v>1.0805587279276112</v>
      </c>
      <c r="D8" s="27">
        <v>112</v>
      </c>
      <c r="E8" s="21">
        <f t="shared" si="2"/>
        <v>1.0796221322537112</v>
      </c>
      <c r="F8" s="27">
        <v>128</v>
      </c>
      <c r="G8" s="21">
        <f t="shared" si="3"/>
        <v>1.3676674858425046</v>
      </c>
      <c r="H8" s="27">
        <v>112</v>
      </c>
      <c r="I8" s="21">
        <f t="shared" si="4"/>
        <v>1.3071895424836601</v>
      </c>
      <c r="J8" s="27">
        <v>105</v>
      </c>
      <c r="K8" s="21">
        <f t="shared" si="5"/>
        <v>1.2911952779144122</v>
      </c>
    </row>
    <row r="9" spans="1:11" ht="20.100000000000001" customHeight="1">
      <c r="A9" s="46" t="s">
        <v>151</v>
      </c>
      <c r="B9" s="27">
        <v>43</v>
      </c>
      <c r="C9" s="21">
        <f t="shared" si="1"/>
        <v>0.37775630325924625</v>
      </c>
      <c r="D9" s="27">
        <v>40</v>
      </c>
      <c r="E9" s="21">
        <f t="shared" si="2"/>
        <v>0.38557933294775398</v>
      </c>
      <c r="F9" s="27">
        <v>38</v>
      </c>
      <c r="G9" s="21">
        <f t="shared" si="3"/>
        <v>0.40602628485949349</v>
      </c>
      <c r="H9" s="27">
        <v>28</v>
      </c>
      <c r="I9" s="21">
        <f t="shared" si="4"/>
        <v>0.32679738562091504</v>
      </c>
      <c r="J9" s="27">
        <v>40</v>
      </c>
      <c r="K9" s="21">
        <f t="shared" si="5"/>
        <v>0.49188391539596654</v>
      </c>
    </row>
    <row r="10" spans="1:11" ht="16.5">
      <c r="A10" s="225" t="s">
        <v>816</v>
      </c>
      <c r="B10" s="27">
        <v>90</v>
      </c>
      <c r="C10" s="21">
        <f t="shared" si="1"/>
        <v>0.79065272775191064</v>
      </c>
      <c r="D10" s="27">
        <v>47</v>
      </c>
      <c r="E10" s="21">
        <f t="shared" si="2"/>
        <v>0.45305571621361096</v>
      </c>
      <c r="F10" s="27">
        <v>46</v>
      </c>
      <c r="G10" s="21">
        <f t="shared" si="3"/>
        <v>0.4915055027246501</v>
      </c>
      <c r="H10" s="27">
        <v>40</v>
      </c>
      <c r="I10" s="21">
        <f t="shared" si="4"/>
        <v>0.46685340802987862</v>
      </c>
      <c r="J10" s="27">
        <v>45</v>
      </c>
      <c r="K10" s="21">
        <f t="shared" si="5"/>
        <v>0.55336940482046237</v>
      </c>
    </row>
    <row r="11" spans="1:11" ht="20.100000000000001" customHeight="1">
      <c r="A11" s="46" t="s">
        <v>147</v>
      </c>
      <c r="B11" s="27">
        <v>5</v>
      </c>
      <c r="C11" s="21">
        <f t="shared" si="1"/>
        <v>4.3925151541772817E-2</v>
      </c>
      <c r="D11" s="27">
        <v>11</v>
      </c>
      <c r="E11" s="21">
        <f t="shared" si="2"/>
        <v>0.10603431656063234</v>
      </c>
      <c r="F11" s="27">
        <v>16</v>
      </c>
      <c r="G11" s="21">
        <f t="shared" si="3"/>
        <v>0.17095843573031308</v>
      </c>
      <c r="H11" s="27">
        <v>28</v>
      </c>
      <c r="I11" s="21">
        <f t="shared" si="4"/>
        <v>0.32679738562091504</v>
      </c>
      <c r="J11" s="27">
        <v>8</v>
      </c>
      <c r="K11" s="21">
        <f t="shared" si="5"/>
        <v>9.83767830791933E-2</v>
      </c>
    </row>
    <row r="12" spans="1:11" ht="20.100000000000001" customHeight="1">
      <c r="A12" s="46" t="s">
        <v>146</v>
      </c>
      <c r="B12" s="27" t="s">
        <v>9</v>
      </c>
      <c r="C12" s="21" t="str">
        <f t="shared" si="1"/>
        <v>-</v>
      </c>
      <c r="D12" s="27">
        <v>3</v>
      </c>
      <c r="E12" s="21">
        <f t="shared" si="2"/>
        <v>2.8918449971081547E-2</v>
      </c>
      <c r="F12" s="27" t="s">
        <v>9</v>
      </c>
      <c r="G12" s="21" t="str">
        <f t="shared" si="3"/>
        <v>-</v>
      </c>
      <c r="H12" s="27" t="s">
        <v>9</v>
      </c>
      <c r="I12" s="21" t="str">
        <f t="shared" si="4"/>
        <v>-</v>
      </c>
      <c r="J12" s="27">
        <v>1</v>
      </c>
      <c r="K12" s="21">
        <f t="shared" si="5"/>
        <v>1.2297097884899163E-2</v>
      </c>
    </row>
    <row r="13" spans="1:11" ht="20.100000000000001" customHeight="1" thickBot="1">
      <c r="A13" s="180" t="s">
        <v>152</v>
      </c>
      <c r="B13" s="125">
        <v>2</v>
      </c>
      <c r="C13" s="37">
        <f t="shared" si="1"/>
        <v>1.7570060616709127E-2</v>
      </c>
      <c r="D13" s="125" t="s">
        <v>9</v>
      </c>
      <c r="E13" s="37" t="str">
        <f t="shared" si="2"/>
        <v>-</v>
      </c>
      <c r="F13" s="125" t="s">
        <v>9</v>
      </c>
      <c r="G13" s="37" t="str">
        <f t="shared" si="3"/>
        <v>-</v>
      </c>
      <c r="H13" s="125" t="s">
        <v>9</v>
      </c>
      <c r="I13" s="37" t="str">
        <f t="shared" si="4"/>
        <v>-</v>
      </c>
      <c r="J13" s="125" t="s">
        <v>9</v>
      </c>
      <c r="K13" s="37" t="str">
        <f t="shared" si="5"/>
        <v>-</v>
      </c>
    </row>
    <row r="14" spans="1:11" ht="20.100000000000001" customHeight="1">
      <c r="A14" s="118"/>
      <c r="B14" s="381" t="s">
        <v>616</v>
      </c>
      <c r="C14" s="343"/>
      <c r="D14" s="381" t="s">
        <v>617</v>
      </c>
      <c r="E14" s="343"/>
      <c r="F14" s="381" t="s">
        <v>618</v>
      </c>
      <c r="G14" s="343"/>
      <c r="H14" s="381" t="s">
        <v>619</v>
      </c>
      <c r="I14" s="343"/>
      <c r="J14" s="381" t="s">
        <v>620</v>
      </c>
      <c r="K14" s="343"/>
    </row>
    <row r="15" spans="1:11" s="30" customFormat="1" ht="21" customHeight="1">
      <c r="A15" s="118"/>
      <c r="B15" s="115" t="s">
        <v>143</v>
      </c>
      <c r="C15" s="115" t="s">
        <v>4</v>
      </c>
      <c r="D15" s="115" t="s">
        <v>143</v>
      </c>
      <c r="E15" s="115" t="s">
        <v>4</v>
      </c>
      <c r="F15" s="115" t="s">
        <v>143</v>
      </c>
      <c r="G15" s="115" t="s">
        <v>4</v>
      </c>
      <c r="H15" s="115" t="s">
        <v>143</v>
      </c>
      <c r="I15" s="115" t="s">
        <v>4</v>
      </c>
      <c r="J15" s="115" t="s">
        <v>143</v>
      </c>
      <c r="K15" s="115" t="s">
        <v>4</v>
      </c>
    </row>
    <row r="16" spans="1:11" ht="17.25" customHeight="1">
      <c r="A16" s="46" t="s">
        <v>145</v>
      </c>
      <c r="B16" s="31">
        <f t="shared" ref="B16:K16" si="6">SUM(B17:B25)</f>
        <v>8448</v>
      </c>
      <c r="C16" s="20">
        <f t="shared" si="6"/>
        <v>100</v>
      </c>
      <c r="D16" s="31">
        <f t="shared" si="6"/>
        <v>7944</v>
      </c>
      <c r="E16" s="20">
        <f t="shared" si="6"/>
        <v>100</v>
      </c>
      <c r="F16" s="31">
        <f t="shared" si="6"/>
        <v>7829</v>
      </c>
      <c r="G16" s="20">
        <f t="shared" si="6"/>
        <v>100.00000000000001</v>
      </c>
      <c r="H16" s="31">
        <f t="shared" si="6"/>
        <v>8765</v>
      </c>
      <c r="I16" s="20">
        <f t="shared" si="6"/>
        <v>100.00000000000001</v>
      </c>
      <c r="J16" s="31">
        <f t="shared" si="6"/>
        <v>8121</v>
      </c>
      <c r="K16" s="20">
        <f t="shared" si="6"/>
        <v>100.00000000000001</v>
      </c>
    </row>
    <row r="17" spans="1:11" ht="20.100000000000001" customHeight="1">
      <c r="A17" s="46" t="s">
        <v>817</v>
      </c>
      <c r="B17" s="27">
        <v>4789</v>
      </c>
      <c r="C17" s="21">
        <f t="shared" ref="C17:C25" si="7">IFERROR(B17/B$16*100,"-")</f>
        <v>56.687973484848484</v>
      </c>
      <c r="D17" s="27">
        <v>4610</v>
      </c>
      <c r="E17" s="21">
        <f t="shared" ref="E17:E25" si="8">IFERROR(D17/D$16*100,"-")</f>
        <v>58.031218529707949</v>
      </c>
      <c r="F17" s="27">
        <v>4535</v>
      </c>
      <c r="G17" s="21">
        <f t="shared" ref="G17:G25" si="9">IFERROR(F17/F$16*100,"-")</f>
        <v>57.92566100395964</v>
      </c>
      <c r="H17" s="27">
        <v>5096</v>
      </c>
      <c r="I17" s="21">
        <f t="shared" ref="I17:I25" si="10">IFERROR(H17/H$16*100,"-")</f>
        <v>58.140330861380498</v>
      </c>
      <c r="J17" s="27">
        <v>4771</v>
      </c>
      <c r="K17" s="21">
        <f t="shared" ref="K17:K25" si="11">IFERROR(J17/J$16*100,"-")</f>
        <v>58.74892254648443</v>
      </c>
    </row>
    <row r="18" spans="1:11" ht="20.100000000000001" customHeight="1">
      <c r="A18" s="46" t="s">
        <v>150</v>
      </c>
      <c r="B18" s="27">
        <v>2790</v>
      </c>
      <c r="C18" s="21">
        <f t="shared" si="7"/>
        <v>33.02556818181818</v>
      </c>
      <c r="D18" s="27">
        <v>2424</v>
      </c>
      <c r="E18" s="21">
        <f t="shared" si="8"/>
        <v>30.513595166163142</v>
      </c>
      <c r="F18" s="27">
        <v>2398</v>
      </c>
      <c r="G18" s="21">
        <f t="shared" si="9"/>
        <v>30.629710052369397</v>
      </c>
      <c r="H18" s="27">
        <v>2921</v>
      </c>
      <c r="I18" s="21">
        <f t="shared" si="10"/>
        <v>33.325727324586424</v>
      </c>
      <c r="J18" s="27">
        <v>2650</v>
      </c>
      <c r="K18" s="21">
        <f t="shared" si="11"/>
        <v>32.631449328900381</v>
      </c>
    </row>
    <row r="19" spans="1:11" ht="20.100000000000001" customHeight="1">
      <c r="A19" s="46" t="s">
        <v>149</v>
      </c>
      <c r="B19" s="27">
        <v>663</v>
      </c>
      <c r="C19" s="21">
        <f t="shared" si="7"/>
        <v>7.8480113636363633</v>
      </c>
      <c r="D19" s="27">
        <v>725</v>
      </c>
      <c r="E19" s="21">
        <f t="shared" si="8"/>
        <v>9.1263846928499497</v>
      </c>
      <c r="F19" s="27">
        <v>697</v>
      </c>
      <c r="G19" s="21">
        <f t="shared" si="9"/>
        <v>8.9027972921190432</v>
      </c>
      <c r="H19" s="27">
        <v>550</v>
      </c>
      <c r="I19" s="21">
        <f t="shared" si="10"/>
        <v>6.2749572162007983</v>
      </c>
      <c r="J19" s="27">
        <v>518</v>
      </c>
      <c r="K19" s="21">
        <f t="shared" si="11"/>
        <v>6.378524812215244</v>
      </c>
    </row>
    <row r="20" spans="1:11" ht="20.100000000000001" customHeight="1">
      <c r="A20" s="46" t="s">
        <v>148</v>
      </c>
      <c r="B20" s="27">
        <v>100</v>
      </c>
      <c r="C20" s="21">
        <f t="shared" si="7"/>
        <v>1.1837121212121211</v>
      </c>
      <c r="D20" s="27">
        <v>51</v>
      </c>
      <c r="E20" s="21">
        <f t="shared" si="8"/>
        <v>0.64199395770392753</v>
      </c>
      <c r="F20" s="27">
        <v>85</v>
      </c>
      <c r="G20" s="21">
        <f t="shared" si="9"/>
        <v>1.0857069868437859</v>
      </c>
      <c r="H20" s="27">
        <v>80</v>
      </c>
      <c r="I20" s="21">
        <f t="shared" si="10"/>
        <v>0.91272104962920697</v>
      </c>
      <c r="J20" s="27">
        <v>76</v>
      </c>
      <c r="K20" s="21">
        <f t="shared" si="11"/>
        <v>0.93584533924393543</v>
      </c>
    </row>
    <row r="21" spans="1:11" ht="20.100000000000001" customHeight="1">
      <c r="A21" s="46" t="s">
        <v>151</v>
      </c>
      <c r="B21" s="27">
        <v>55</v>
      </c>
      <c r="C21" s="21">
        <f t="shared" si="7"/>
        <v>0.65104166666666674</v>
      </c>
      <c r="D21" s="27">
        <v>56</v>
      </c>
      <c r="E21" s="21">
        <f t="shared" si="8"/>
        <v>0.70493454179254789</v>
      </c>
      <c r="F21" s="27">
        <v>52</v>
      </c>
      <c r="G21" s="21">
        <f t="shared" si="9"/>
        <v>0.66419721548090438</v>
      </c>
      <c r="H21" s="27">
        <v>49</v>
      </c>
      <c r="I21" s="21">
        <f t="shared" si="10"/>
        <v>0.55904164289788927</v>
      </c>
      <c r="J21" s="27">
        <v>58</v>
      </c>
      <c r="K21" s="21">
        <f t="shared" si="11"/>
        <v>0.71419775889668757</v>
      </c>
    </row>
    <row r="22" spans="1:11" ht="20.100000000000001" customHeight="1">
      <c r="A22" s="225" t="s">
        <v>818</v>
      </c>
      <c r="B22" s="27">
        <v>44</v>
      </c>
      <c r="C22" s="21">
        <f t="shared" si="7"/>
        <v>0.52083333333333326</v>
      </c>
      <c r="D22" s="27">
        <v>50</v>
      </c>
      <c r="E22" s="21">
        <f t="shared" si="8"/>
        <v>0.62940584088620344</v>
      </c>
      <c r="F22" s="27">
        <v>42</v>
      </c>
      <c r="G22" s="21">
        <f t="shared" si="9"/>
        <v>0.53646698173457652</v>
      </c>
      <c r="H22" s="27">
        <v>59</v>
      </c>
      <c r="I22" s="21">
        <f t="shared" si="10"/>
        <v>0.67313177410154024</v>
      </c>
      <c r="J22" s="27">
        <v>40</v>
      </c>
      <c r="K22" s="21">
        <f t="shared" si="11"/>
        <v>0.49255017854943972</v>
      </c>
    </row>
    <row r="23" spans="1:11" ht="16.5">
      <c r="A23" s="46" t="s">
        <v>147</v>
      </c>
      <c r="B23" s="27">
        <v>6</v>
      </c>
      <c r="C23" s="21">
        <f t="shared" si="7"/>
        <v>7.1022727272727279E-2</v>
      </c>
      <c r="D23" s="27">
        <v>28</v>
      </c>
      <c r="E23" s="21">
        <f t="shared" si="8"/>
        <v>0.35246727089627394</v>
      </c>
      <c r="F23" s="27">
        <v>18</v>
      </c>
      <c r="G23" s="21">
        <f t="shared" si="9"/>
        <v>0.22991442074338994</v>
      </c>
      <c r="H23" s="27">
        <v>10</v>
      </c>
      <c r="I23" s="21">
        <f t="shared" si="10"/>
        <v>0.11409013120365087</v>
      </c>
      <c r="J23" s="27">
        <v>8</v>
      </c>
      <c r="K23" s="21">
        <f t="shared" si="11"/>
        <v>9.8510035709887936E-2</v>
      </c>
    </row>
    <row r="24" spans="1:11" ht="20.100000000000001" customHeight="1">
      <c r="A24" s="46" t="s">
        <v>146</v>
      </c>
      <c r="B24" s="27">
        <v>1</v>
      </c>
      <c r="C24" s="21">
        <f t="shared" si="7"/>
        <v>1.1837121212121212E-2</v>
      </c>
      <c r="D24" s="27" t="s">
        <v>9</v>
      </c>
      <c r="E24" s="21" t="str">
        <f t="shared" si="8"/>
        <v>-</v>
      </c>
      <c r="F24" s="27">
        <v>2</v>
      </c>
      <c r="G24" s="21">
        <f t="shared" si="9"/>
        <v>2.5546046749265552E-2</v>
      </c>
      <c r="H24" s="27" t="s">
        <v>9</v>
      </c>
      <c r="I24" s="21" t="str">
        <f t="shared" si="10"/>
        <v>-</v>
      </c>
      <c r="J24" s="27" t="s">
        <v>9</v>
      </c>
      <c r="K24" s="21" t="str">
        <f t="shared" si="11"/>
        <v>-</v>
      </c>
    </row>
    <row r="25" spans="1:11" ht="20.100000000000001" customHeight="1">
      <c r="A25" s="113" t="s">
        <v>152</v>
      </c>
      <c r="B25" s="28" t="s">
        <v>9</v>
      </c>
      <c r="C25" s="22" t="str">
        <f t="shared" si="7"/>
        <v>-</v>
      </c>
      <c r="D25" s="28" t="s">
        <v>9</v>
      </c>
      <c r="E25" s="22" t="str">
        <f t="shared" si="8"/>
        <v>-</v>
      </c>
      <c r="F25" s="28" t="s">
        <v>9</v>
      </c>
      <c r="G25" s="22" t="str">
        <f t="shared" si="9"/>
        <v>-</v>
      </c>
      <c r="H25" s="28" t="s">
        <v>9</v>
      </c>
      <c r="I25" s="22" t="str">
        <f t="shared" si="10"/>
        <v>-</v>
      </c>
      <c r="J25" s="28" t="s">
        <v>9</v>
      </c>
      <c r="K25" s="22" t="str">
        <f t="shared" si="11"/>
        <v>-</v>
      </c>
    </row>
    <row r="26" spans="1:11">
      <c r="A26" s="339" t="s">
        <v>405</v>
      </c>
      <c r="B26" s="339"/>
      <c r="C26" s="339"/>
      <c r="H26" s="48"/>
      <c r="I26" s="49"/>
      <c r="J26" s="50"/>
      <c r="K26" s="50"/>
    </row>
    <row r="27" spans="1:11" ht="47.25" customHeight="1">
      <c r="A27" s="370" t="s">
        <v>621</v>
      </c>
      <c r="B27" s="370"/>
      <c r="C27" s="370"/>
      <c r="D27" s="370"/>
      <c r="E27" s="370"/>
      <c r="F27" s="370"/>
      <c r="G27" s="370"/>
      <c r="H27" s="370"/>
      <c r="I27" s="370"/>
      <c r="J27" s="370"/>
      <c r="K27" s="370"/>
    </row>
    <row r="28" spans="1:11">
      <c r="A28" s="374" t="s">
        <v>155</v>
      </c>
      <c r="B28" s="374"/>
      <c r="C28" s="374"/>
      <c r="D28" s="374"/>
      <c r="E28" s="374"/>
      <c r="F28" s="50"/>
      <c r="G28" s="51"/>
    </row>
  </sheetData>
  <mergeCells count="14">
    <mergeCell ref="A28:E28"/>
    <mergeCell ref="A27:K27"/>
    <mergeCell ref="A26:C26"/>
    <mergeCell ref="A1:K1"/>
    <mergeCell ref="B2:C2"/>
    <mergeCell ref="D2:E2"/>
    <mergeCell ref="F2:G2"/>
    <mergeCell ref="H2:I2"/>
    <mergeCell ref="J2:K2"/>
    <mergeCell ref="B14:C14"/>
    <mergeCell ref="D14:E14"/>
    <mergeCell ref="F14:G14"/>
    <mergeCell ref="H14:I14"/>
    <mergeCell ref="J14:K14"/>
  </mergeCells>
  <phoneticPr fontId="21" type="noConversion"/>
  <printOptions horizontalCentered="1" verticalCentered="1"/>
  <pageMargins left="0.74803149606299213" right="0.74803149606299213" top="0.74803149606299213" bottom="0.74803149606299213" header="0.51181102362204722" footer="0.51181102362204722"/>
  <pageSetup paperSize="11" scale="6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24"/>
  <sheetViews>
    <sheetView showGridLines="0" showRuler="0" zoomScale="70" zoomScaleNormal="70" zoomScalePageLayoutView="125" workbookViewId="0">
      <pane xSplit="1" ySplit="4" topLeftCell="B5" activePane="bottomRight" state="frozen"/>
      <selection activeCell="F17" sqref="F17"/>
      <selection pane="topRight" activeCell="F17" sqref="F17"/>
      <selection pane="bottomLeft" activeCell="F17" sqref="F17"/>
      <selection pane="bottomRight" activeCell="F17" sqref="F17"/>
    </sheetView>
  </sheetViews>
  <sheetFormatPr defaultColWidth="9" defaultRowHeight="15.75"/>
  <cols>
    <col min="1" max="1" width="15.625" style="17" customWidth="1"/>
    <col min="2" max="21" width="7.625" style="17" customWidth="1"/>
    <col min="22" max="16384" width="9" style="17"/>
  </cols>
  <sheetData>
    <row r="1" spans="1:21" ht="26.25" customHeight="1">
      <c r="A1" s="297" t="s">
        <v>850</v>
      </c>
      <c r="B1" s="297"/>
      <c r="C1" s="297"/>
      <c r="D1" s="297"/>
      <c r="E1" s="297"/>
      <c r="F1" s="297"/>
      <c r="G1" s="297"/>
      <c r="H1" s="297"/>
      <c r="I1" s="297"/>
      <c r="J1" s="297"/>
      <c r="K1" s="297"/>
      <c r="L1" s="297"/>
      <c r="M1" s="297"/>
      <c r="N1" s="297"/>
      <c r="O1" s="297"/>
      <c r="P1" s="297"/>
      <c r="Q1" s="297"/>
      <c r="R1" s="297"/>
      <c r="S1" s="297"/>
      <c r="T1" s="297"/>
      <c r="U1" s="297"/>
    </row>
    <row r="2" spans="1:21" ht="20.100000000000001" customHeight="1">
      <c r="A2" s="378"/>
      <c r="B2" s="302" t="s">
        <v>622</v>
      </c>
      <c r="C2" s="302"/>
      <c r="D2" s="302"/>
      <c r="E2" s="302"/>
      <c r="F2" s="302" t="s">
        <v>30</v>
      </c>
      <c r="G2" s="302"/>
      <c r="H2" s="302"/>
      <c r="I2" s="302"/>
      <c r="J2" s="302" t="s">
        <v>31</v>
      </c>
      <c r="K2" s="302"/>
      <c r="L2" s="302"/>
      <c r="M2" s="302"/>
      <c r="N2" s="302" t="s">
        <v>32</v>
      </c>
      <c r="O2" s="302"/>
      <c r="P2" s="302"/>
      <c r="Q2" s="302"/>
      <c r="R2" s="302" t="s">
        <v>33</v>
      </c>
      <c r="S2" s="302"/>
      <c r="T2" s="302"/>
      <c r="U2" s="302"/>
    </row>
    <row r="3" spans="1:21" s="36" customFormat="1" ht="20.100000000000001" customHeight="1">
      <c r="A3" s="342"/>
      <c r="B3" s="302" t="s">
        <v>156</v>
      </c>
      <c r="C3" s="302"/>
      <c r="D3" s="302"/>
      <c r="E3" s="378" t="s">
        <v>157</v>
      </c>
      <c r="F3" s="302" t="s">
        <v>156</v>
      </c>
      <c r="G3" s="302"/>
      <c r="H3" s="302"/>
      <c r="I3" s="378" t="s">
        <v>157</v>
      </c>
      <c r="J3" s="302" t="s">
        <v>158</v>
      </c>
      <c r="K3" s="302"/>
      <c r="L3" s="302"/>
      <c r="M3" s="378" t="s">
        <v>157</v>
      </c>
      <c r="N3" s="302" t="s">
        <v>156</v>
      </c>
      <c r="O3" s="302"/>
      <c r="P3" s="302"/>
      <c r="Q3" s="378" t="s">
        <v>157</v>
      </c>
      <c r="R3" s="302" t="s">
        <v>156</v>
      </c>
      <c r="S3" s="302"/>
      <c r="T3" s="302"/>
      <c r="U3" s="378" t="s">
        <v>157</v>
      </c>
    </row>
    <row r="4" spans="1:21" s="36" customFormat="1" ht="20.100000000000001" customHeight="1">
      <c r="A4" s="342"/>
      <c r="B4" s="115" t="s">
        <v>136</v>
      </c>
      <c r="C4" s="195" t="s">
        <v>406</v>
      </c>
      <c r="D4" s="195" t="s">
        <v>407</v>
      </c>
      <c r="E4" s="343"/>
      <c r="F4" s="115" t="s">
        <v>136</v>
      </c>
      <c r="G4" s="195" t="s">
        <v>406</v>
      </c>
      <c r="H4" s="195" t="s">
        <v>407</v>
      </c>
      <c r="I4" s="343"/>
      <c r="J4" s="115" t="s">
        <v>136</v>
      </c>
      <c r="K4" s="195" t="s">
        <v>406</v>
      </c>
      <c r="L4" s="195" t="s">
        <v>407</v>
      </c>
      <c r="M4" s="343"/>
      <c r="N4" s="115" t="s">
        <v>136</v>
      </c>
      <c r="O4" s="195" t="s">
        <v>406</v>
      </c>
      <c r="P4" s="195" t="s">
        <v>407</v>
      </c>
      <c r="Q4" s="343"/>
      <c r="R4" s="115" t="s">
        <v>136</v>
      </c>
      <c r="S4" s="195" t="s">
        <v>406</v>
      </c>
      <c r="T4" s="195" t="s">
        <v>407</v>
      </c>
      <c r="U4" s="343"/>
    </row>
    <row r="5" spans="1:21" s="36" customFormat="1" ht="20.100000000000001" customHeight="1">
      <c r="A5" s="46" t="s">
        <v>136</v>
      </c>
      <c r="B5" s="52">
        <f t="shared" ref="B5:B10" si="0">SUM(C5,D5)</f>
        <v>11383</v>
      </c>
      <c r="C5" s="52">
        <v>9859</v>
      </c>
      <c r="D5" s="52">
        <v>1524</v>
      </c>
      <c r="E5" s="211">
        <f>SUM(E6:E10)</f>
        <v>100</v>
      </c>
      <c r="F5" s="52">
        <f t="shared" ref="F5:F10" si="1">SUM(G5,H5)</f>
        <v>10374</v>
      </c>
      <c r="G5" s="52">
        <v>8961</v>
      </c>
      <c r="H5" s="52">
        <v>1413</v>
      </c>
      <c r="I5" s="211">
        <f>SUM(I6:I10)</f>
        <v>100</v>
      </c>
      <c r="J5" s="52">
        <f t="shared" ref="J5:J10" si="2">SUM(K5,L5)</f>
        <v>9359</v>
      </c>
      <c r="K5" s="52">
        <v>8144</v>
      </c>
      <c r="L5" s="52">
        <v>1215</v>
      </c>
      <c r="M5" s="211">
        <f>SUM(M6:M10)</f>
        <v>100</v>
      </c>
      <c r="N5" s="212">
        <f t="shared" ref="N5:N10" si="3">SUM(O5,P5)</f>
        <v>8568</v>
      </c>
      <c r="O5" s="212">
        <v>7410</v>
      </c>
      <c r="P5" s="212">
        <v>1158</v>
      </c>
      <c r="Q5" s="211">
        <f>SUM(Q6:Q10)</f>
        <v>100</v>
      </c>
      <c r="R5" s="52">
        <f t="shared" ref="R5:R10" si="4">SUM(S5,T5)</f>
        <v>8132</v>
      </c>
      <c r="S5" s="52">
        <v>7042</v>
      </c>
      <c r="T5" s="52">
        <v>1090</v>
      </c>
      <c r="U5" s="211">
        <f>SUM(U6:U10)</f>
        <v>100</v>
      </c>
    </row>
    <row r="6" spans="1:21" ht="20.100000000000001" customHeight="1">
      <c r="A6" s="46" t="s">
        <v>159</v>
      </c>
      <c r="B6" s="52">
        <f t="shared" si="0"/>
        <v>6433</v>
      </c>
      <c r="C6" s="52">
        <v>5567</v>
      </c>
      <c r="D6" s="52">
        <v>866</v>
      </c>
      <c r="E6" s="211">
        <f>IFERROR(B6/B$5*100,"-")</f>
        <v>56.514099973644903</v>
      </c>
      <c r="F6" s="52">
        <f t="shared" si="1"/>
        <v>5674</v>
      </c>
      <c r="G6" s="52">
        <v>4855</v>
      </c>
      <c r="H6" s="52">
        <v>819</v>
      </c>
      <c r="I6" s="211">
        <f>IFERROR(F6/F$5*100,"-")</f>
        <v>54.694428378638904</v>
      </c>
      <c r="J6" s="52">
        <f t="shared" si="2"/>
        <v>5063</v>
      </c>
      <c r="K6" s="52">
        <v>4382</v>
      </c>
      <c r="L6" s="52">
        <v>681</v>
      </c>
      <c r="M6" s="211">
        <f>IFERROR(J6/J$5*100,"-")</f>
        <v>54.097660006410941</v>
      </c>
      <c r="N6" s="52">
        <f t="shared" si="3"/>
        <v>4464</v>
      </c>
      <c r="O6" s="52">
        <v>3870</v>
      </c>
      <c r="P6" s="52">
        <v>594</v>
      </c>
      <c r="Q6" s="211">
        <f>IFERROR(N6/N$5*100,"-")</f>
        <v>52.100840336134461</v>
      </c>
      <c r="R6" s="52">
        <f t="shared" si="4"/>
        <v>4176</v>
      </c>
      <c r="S6" s="52">
        <v>3591</v>
      </c>
      <c r="T6" s="52">
        <v>585</v>
      </c>
      <c r="U6" s="211">
        <f>IFERROR(R6/R$5*100,"-")</f>
        <v>51.35268076733891</v>
      </c>
    </row>
    <row r="7" spans="1:21" ht="20.100000000000001" customHeight="1">
      <c r="A7" s="46" t="s">
        <v>160</v>
      </c>
      <c r="B7" s="52">
        <f t="shared" si="0"/>
        <v>1464</v>
      </c>
      <c r="C7" s="52">
        <v>1326</v>
      </c>
      <c r="D7" s="52">
        <v>138</v>
      </c>
      <c r="E7" s="211">
        <f t="shared" ref="E7:E10" si="5">IFERROR(B7/B$5*100,"-")</f>
        <v>12.861284371431081</v>
      </c>
      <c r="F7" s="52">
        <f t="shared" si="1"/>
        <v>1599</v>
      </c>
      <c r="G7" s="52">
        <v>1462</v>
      </c>
      <c r="H7" s="52">
        <v>137</v>
      </c>
      <c r="I7" s="211">
        <f t="shared" ref="I7:I10" si="6">IFERROR(F7/F$5*100,"-")</f>
        <v>15.413533834586465</v>
      </c>
      <c r="J7" s="52">
        <f t="shared" si="2"/>
        <v>1591</v>
      </c>
      <c r="K7" s="52">
        <v>1464</v>
      </c>
      <c r="L7" s="52">
        <v>127</v>
      </c>
      <c r="M7" s="211">
        <f t="shared" ref="M7:M10" si="7">IFERROR(J7/J$5*100,"-")</f>
        <v>16.999679452933005</v>
      </c>
      <c r="N7" s="52">
        <f t="shared" si="3"/>
        <v>1585</v>
      </c>
      <c r="O7" s="52">
        <v>1440</v>
      </c>
      <c r="P7" s="52">
        <v>145</v>
      </c>
      <c r="Q7" s="211">
        <f t="shared" ref="Q7:Q10" si="8">IFERROR(N7/N$5*100,"-")</f>
        <v>18.49906629318394</v>
      </c>
      <c r="R7" s="52">
        <f t="shared" si="4"/>
        <v>1502</v>
      </c>
      <c r="S7" s="52">
        <v>1372</v>
      </c>
      <c r="T7" s="52">
        <v>130</v>
      </c>
      <c r="U7" s="211">
        <f t="shared" ref="U7:U10" si="9">IFERROR(R7/R$5*100,"-")</f>
        <v>18.470241023118543</v>
      </c>
    </row>
    <row r="8" spans="1:21" ht="20.100000000000001" customHeight="1">
      <c r="A8" s="46" t="s">
        <v>161</v>
      </c>
      <c r="B8" s="52">
        <f t="shared" si="0"/>
        <v>1924</v>
      </c>
      <c r="C8" s="52">
        <v>1620</v>
      </c>
      <c r="D8" s="52">
        <v>304</v>
      </c>
      <c r="E8" s="211">
        <f t="shared" si="5"/>
        <v>16.90239831327418</v>
      </c>
      <c r="F8" s="52">
        <f t="shared" si="1"/>
        <v>1769</v>
      </c>
      <c r="G8" s="52">
        <v>1502</v>
      </c>
      <c r="H8" s="52">
        <v>267</v>
      </c>
      <c r="I8" s="211">
        <f t="shared" si="6"/>
        <v>17.052245999614421</v>
      </c>
      <c r="J8" s="52">
        <f t="shared" si="2"/>
        <v>1523</v>
      </c>
      <c r="K8" s="52">
        <v>1252</v>
      </c>
      <c r="L8" s="52">
        <v>271</v>
      </c>
      <c r="M8" s="211">
        <f t="shared" si="7"/>
        <v>16.273106101079176</v>
      </c>
      <c r="N8" s="52">
        <f t="shared" si="3"/>
        <v>1401</v>
      </c>
      <c r="O8" s="52">
        <v>1147</v>
      </c>
      <c r="P8" s="52">
        <v>254</v>
      </c>
      <c r="Q8" s="211">
        <f t="shared" si="8"/>
        <v>16.351540616246499</v>
      </c>
      <c r="R8" s="52">
        <f t="shared" si="4"/>
        <v>1461</v>
      </c>
      <c r="S8" s="52">
        <v>1234</v>
      </c>
      <c r="T8" s="52">
        <v>227</v>
      </c>
      <c r="U8" s="211">
        <f t="shared" si="9"/>
        <v>17.96606000983768</v>
      </c>
    </row>
    <row r="9" spans="1:21" ht="20.100000000000001" customHeight="1">
      <c r="A9" s="46" t="s">
        <v>162</v>
      </c>
      <c r="B9" s="52">
        <f t="shared" si="0"/>
        <v>615</v>
      </c>
      <c r="C9" s="52">
        <v>541</v>
      </c>
      <c r="D9" s="52">
        <v>74</v>
      </c>
      <c r="E9" s="211">
        <f t="shared" si="5"/>
        <v>5.4027936396380563</v>
      </c>
      <c r="F9" s="52">
        <f t="shared" si="1"/>
        <v>642</v>
      </c>
      <c r="G9" s="52">
        <v>570</v>
      </c>
      <c r="H9" s="52">
        <v>72</v>
      </c>
      <c r="I9" s="211">
        <f t="shared" si="6"/>
        <v>6.1885482938114516</v>
      </c>
      <c r="J9" s="52">
        <f t="shared" si="2"/>
        <v>607</v>
      </c>
      <c r="K9" s="52">
        <v>551</v>
      </c>
      <c r="L9" s="52">
        <v>56</v>
      </c>
      <c r="M9" s="211">
        <f t="shared" si="7"/>
        <v>6.4857356555187522</v>
      </c>
      <c r="N9" s="52">
        <f t="shared" si="3"/>
        <v>599</v>
      </c>
      <c r="O9" s="52">
        <v>526</v>
      </c>
      <c r="P9" s="52">
        <v>73</v>
      </c>
      <c r="Q9" s="211">
        <f t="shared" si="8"/>
        <v>6.9911297852474323</v>
      </c>
      <c r="R9" s="52">
        <f t="shared" si="4"/>
        <v>536</v>
      </c>
      <c r="S9" s="52">
        <v>463</v>
      </c>
      <c r="T9" s="52">
        <v>73</v>
      </c>
      <c r="U9" s="211">
        <f t="shared" si="9"/>
        <v>6.5912444663059526</v>
      </c>
    </row>
    <row r="10" spans="1:21" ht="20.100000000000001" customHeight="1" thickBot="1">
      <c r="A10" s="180" t="s">
        <v>163</v>
      </c>
      <c r="B10" s="181">
        <f t="shared" si="0"/>
        <v>947</v>
      </c>
      <c r="C10" s="181">
        <v>805</v>
      </c>
      <c r="D10" s="181">
        <v>142</v>
      </c>
      <c r="E10" s="213">
        <f t="shared" si="5"/>
        <v>8.3194237020117718</v>
      </c>
      <c r="F10" s="181">
        <f t="shared" si="1"/>
        <v>690</v>
      </c>
      <c r="G10" s="181">
        <v>572</v>
      </c>
      <c r="H10" s="181">
        <v>118</v>
      </c>
      <c r="I10" s="213">
        <f t="shared" si="6"/>
        <v>6.6512434933487556</v>
      </c>
      <c r="J10" s="181">
        <f t="shared" si="2"/>
        <v>575</v>
      </c>
      <c r="K10" s="181">
        <v>495</v>
      </c>
      <c r="L10" s="181">
        <v>80</v>
      </c>
      <c r="M10" s="213">
        <f t="shared" si="7"/>
        <v>6.1438187840581255</v>
      </c>
      <c r="N10" s="181">
        <f t="shared" si="3"/>
        <v>519</v>
      </c>
      <c r="O10" s="181">
        <v>427</v>
      </c>
      <c r="P10" s="181">
        <v>92</v>
      </c>
      <c r="Q10" s="213">
        <f t="shared" si="8"/>
        <v>6.0574229691876749</v>
      </c>
      <c r="R10" s="181">
        <f t="shared" si="4"/>
        <v>457</v>
      </c>
      <c r="S10" s="181">
        <v>382</v>
      </c>
      <c r="T10" s="181">
        <v>75</v>
      </c>
      <c r="U10" s="213">
        <f t="shared" si="9"/>
        <v>5.6197737333989179</v>
      </c>
    </row>
    <row r="11" spans="1:21" ht="20.100000000000001" customHeight="1">
      <c r="A11" s="342"/>
      <c r="B11" s="343" t="s">
        <v>34</v>
      </c>
      <c r="C11" s="343"/>
      <c r="D11" s="343"/>
      <c r="E11" s="343"/>
      <c r="F11" s="343" t="s">
        <v>35</v>
      </c>
      <c r="G11" s="343"/>
      <c r="H11" s="343"/>
      <c r="I11" s="343"/>
      <c r="J11" s="343" t="s">
        <v>36</v>
      </c>
      <c r="K11" s="343"/>
      <c r="L11" s="343"/>
      <c r="M11" s="343"/>
      <c r="N11" s="343" t="s">
        <v>37</v>
      </c>
      <c r="O11" s="343"/>
      <c r="P11" s="343"/>
      <c r="Q11" s="343"/>
      <c r="R11" s="343" t="s">
        <v>567</v>
      </c>
      <c r="S11" s="343"/>
      <c r="T11" s="343"/>
      <c r="U11" s="343"/>
    </row>
    <row r="12" spans="1:21" ht="20.100000000000001" customHeight="1">
      <c r="A12" s="342"/>
      <c r="B12" s="302" t="s">
        <v>156</v>
      </c>
      <c r="C12" s="302"/>
      <c r="D12" s="302"/>
      <c r="E12" s="378" t="s">
        <v>157</v>
      </c>
      <c r="F12" s="302" t="s">
        <v>156</v>
      </c>
      <c r="G12" s="302"/>
      <c r="H12" s="302"/>
      <c r="I12" s="378" t="s">
        <v>157</v>
      </c>
      <c r="J12" s="302" t="s">
        <v>156</v>
      </c>
      <c r="K12" s="302"/>
      <c r="L12" s="302"/>
      <c r="M12" s="378" t="s">
        <v>157</v>
      </c>
      <c r="N12" s="302" t="s">
        <v>156</v>
      </c>
      <c r="O12" s="302"/>
      <c r="P12" s="302"/>
      <c r="Q12" s="378" t="s">
        <v>157</v>
      </c>
      <c r="R12" s="302" t="s">
        <v>156</v>
      </c>
      <c r="S12" s="302"/>
      <c r="T12" s="302"/>
      <c r="U12" s="378" t="s">
        <v>157</v>
      </c>
    </row>
    <row r="13" spans="1:21" ht="20.100000000000001" customHeight="1">
      <c r="A13" s="342"/>
      <c r="B13" s="115" t="s">
        <v>6</v>
      </c>
      <c r="C13" s="195" t="s">
        <v>406</v>
      </c>
      <c r="D13" s="195" t="s">
        <v>407</v>
      </c>
      <c r="E13" s="343"/>
      <c r="F13" s="115" t="s">
        <v>136</v>
      </c>
      <c r="G13" s="195" t="s">
        <v>406</v>
      </c>
      <c r="H13" s="195" t="s">
        <v>407</v>
      </c>
      <c r="I13" s="343"/>
      <c r="J13" s="115" t="s">
        <v>136</v>
      </c>
      <c r="K13" s="195" t="s">
        <v>406</v>
      </c>
      <c r="L13" s="195" t="s">
        <v>407</v>
      </c>
      <c r="M13" s="343"/>
      <c r="N13" s="115" t="s">
        <v>6</v>
      </c>
      <c r="O13" s="195" t="s">
        <v>406</v>
      </c>
      <c r="P13" s="195" t="s">
        <v>407</v>
      </c>
      <c r="Q13" s="343"/>
      <c r="R13" s="115" t="s">
        <v>136</v>
      </c>
      <c r="S13" s="195" t="s">
        <v>406</v>
      </c>
      <c r="T13" s="195" t="s">
        <v>407</v>
      </c>
      <c r="U13" s="343"/>
    </row>
    <row r="14" spans="1:21" s="36" customFormat="1" ht="20.100000000000001" customHeight="1">
      <c r="A14" s="46" t="s">
        <v>6</v>
      </c>
      <c r="B14" s="52">
        <f t="shared" ref="B14:B19" si="10">SUM(C14,D14)</f>
        <v>8448</v>
      </c>
      <c r="C14" s="52">
        <v>7351</v>
      </c>
      <c r="D14" s="52">
        <v>1097</v>
      </c>
      <c r="E14" s="211">
        <f>SUM(E15:E19)</f>
        <v>100.00000000000001</v>
      </c>
      <c r="F14" s="52">
        <f t="shared" ref="F14:F19" si="11">SUM(G14,H14)</f>
        <v>7944</v>
      </c>
      <c r="G14" s="52">
        <v>6907</v>
      </c>
      <c r="H14" s="52">
        <v>1037</v>
      </c>
      <c r="I14" s="211">
        <f>SUM(I15:I19)</f>
        <v>100</v>
      </c>
      <c r="J14" s="52">
        <f t="shared" ref="J14:J19" si="12">SUM(K14,L14)</f>
        <v>7829</v>
      </c>
      <c r="K14" s="52">
        <v>6803</v>
      </c>
      <c r="L14" s="52">
        <v>1026</v>
      </c>
      <c r="M14" s="211">
        <f>SUM(M15:M19)</f>
        <v>100</v>
      </c>
      <c r="N14" s="212">
        <f t="shared" ref="N14:N19" si="13">SUM(O14,P14)</f>
        <v>8765</v>
      </c>
      <c r="O14" s="212">
        <f>SUM(O15:O19)</f>
        <v>7611</v>
      </c>
      <c r="P14" s="212">
        <f>SUM(P15:P19)</f>
        <v>1154</v>
      </c>
      <c r="Q14" s="211">
        <f>SUM(Q15:Q19)</f>
        <v>100.00000000000003</v>
      </c>
      <c r="R14" s="212">
        <f t="shared" ref="R14:R19" si="14">SUM(S14,T14)</f>
        <v>8121</v>
      </c>
      <c r="S14" s="212">
        <f>SUM(S15:S19)</f>
        <v>7031</v>
      </c>
      <c r="T14" s="212">
        <f>SUM(T15:T19)</f>
        <v>1090</v>
      </c>
      <c r="U14" s="211">
        <f>SUM(U15:U19)</f>
        <v>100.00000000000001</v>
      </c>
    </row>
    <row r="15" spans="1:21" ht="20.100000000000001" customHeight="1">
      <c r="A15" s="46" t="s">
        <v>159</v>
      </c>
      <c r="B15" s="52">
        <f t="shared" si="10"/>
        <v>4203</v>
      </c>
      <c r="C15" s="52">
        <v>3672</v>
      </c>
      <c r="D15" s="52">
        <v>531</v>
      </c>
      <c r="E15" s="211">
        <f>IFERROR(B15/B$14*100,"-")</f>
        <v>49.751420454545453</v>
      </c>
      <c r="F15" s="52">
        <f t="shared" si="11"/>
        <v>3746</v>
      </c>
      <c r="G15" s="52">
        <v>3254</v>
      </c>
      <c r="H15" s="52">
        <v>492</v>
      </c>
      <c r="I15" s="211">
        <f>IFERROR(F15/F$14*100,"-")</f>
        <v>47.155085599194365</v>
      </c>
      <c r="J15" s="52">
        <f t="shared" si="12"/>
        <v>3815</v>
      </c>
      <c r="K15" s="52">
        <v>3270</v>
      </c>
      <c r="L15" s="52">
        <v>545</v>
      </c>
      <c r="M15" s="211">
        <f>IFERROR(J15/J$14*100,"-")</f>
        <v>48.729084174224042</v>
      </c>
      <c r="N15" s="52">
        <f t="shared" si="13"/>
        <v>4463</v>
      </c>
      <c r="O15" s="52">
        <v>3837</v>
      </c>
      <c r="P15" s="52">
        <v>626</v>
      </c>
      <c r="Q15" s="211">
        <f>IFERROR(N15/N$14*100,"-")</f>
        <v>50.918425556189398</v>
      </c>
      <c r="R15" s="52">
        <f t="shared" si="14"/>
        <v>4215</v>
      </c>
      <c r="S15" s="52">
        <v>3585</v>
      </c>
      <c r="T15" s="52">
        <v>630</v>
      </c>
      <c r="U15" s="211">
        <f>IFERROR(R15/R$14*100,"-")</f>
        <v>51.902475064647213</v>
      </c>
    </row>
    <row r="16" spans="1:21" ht="20.100000000000001" customHeight="1">
      <c r="A16" s="46" t="s">
        <v>160</v>
      </c>
      <c r="B16" s="52">
        <f t="shared" si="10"/>
        <v>1574</v>
      </c>
      <c r="C16" s="52">
        <v>1437</v>
      </c>
      <c r="D16" s="52">
        <v>137</v>
      </c>
      <c r="E16" s="211">
        <f t="shared" ref="E16:E19" si="15">IFERROR(B16/B$14*100,"-")</f>
        <v>18.631628787878789</v>
      </c>
      <c r="F16" s="52">
        <f t="shared" si="11"/>
        <v>1665</v>
      </c>
      <c r="G16" s="52">
        <v>1496</v>
      </c>
      <c r="H16" s="52">
        <v>169</v>
      </c>
      <c r="I16" s="211">
        <f t="shared" ref="I16:I19" si="16">IFERROR(F16/F$14*100,"-")</f>
        <v>20.959214501510573</v>
      </c>
      <c r="J16" s="52">
        <f t="shared" si="12"/>
        <v>1528</v>
      </c>
      <c r="K16" s="52">
        <v>1386</v>
      </c>
      <c r="L16" s="52">
        <v>142</v>
      </c>
      <c r="M16" s="211">
        <f t="shared" ref="M16:M19" si="17">IFERROR(J16/J$14*100,"-")</f>
        <v>19.517179716438882</v>
      </c>
      <c r="N16" s="52">
        <f t="shared" si="13"/>
        <v>1690</v>
      </c>
      <c r="O16" s="52">
        <v>1534</v>
      </c>
      <c r="P16" s="52">
        <v>156</v>
      </c>
      <c r="Q16" s="211">
        <f t="shared" ref="Q16:Q19" si="18">IFERROR(N16/N$14*100,"-")</f>
        <v>19.281232173416999</v>
      </c>
      <c r="R16" s="52">
        <f t="shared" si="14"/>
        <v>1562</v>
      </c>
      <c r="S16" s="52">
        <v>1445</v>
      </c>
      <c r="T16" s="52">
        <v>117</v>
      </c>
      <c r="U16" s="211">
        <f t="shared" ref="U16:U19" si="19">IFERROR(R16/R$14*100,"-")</f>
        <v>19.234084472355622</v>
      </c>
    </row>
    <row r="17" spans="1:21" ht="20.100000000000001" customHeight="1">
      <c r="A17" s="46" t="s">
        <v>161</v>
      </c>
      <c r="B17" s="52">
        <f t="shared" si="10"/>
        <v>1647</v>
      </c>
      <c r="C17" s="52">
        <v>1376</v>
      </c>
      <c r="D17" s="52">
        <v>271</v>
      </c>
      <c r="E17" s="211">
        <f t="shared" si="15"/>
        <v>19.495738636363637</v>
      </c>
      <c r="F17" s="52">
        <f t="shared" si="11"/>
        <v>1375</v>
      </c>
      <c r="G17" s="52">
        <v>1146</v>
      </c>
      <c r="H17" s="52">
        <v>229</v>
      </c>
      <c r="I17" s="211">
        <f t="shared" si="16"/>
        <v>17.308660624370596</v>
      </c>
      <c r="J17" s="52">
        <f t="shared" si="12"/>
        <v>1362</v>
      </c>
      <c r="K17" s="52">
        <v>1180</v>
      </c>
      <c r="L17" s="52">
        <v>182</v>
      </c>
      <c r="M17" s="211">
        <f t="shared" si="17"/>
        <v>17.39685783624984</v>
      </c>
      <c r="N17" s="52">
        <f t="shared" si="13"/>
        <v>1697</v>
      </c>
      <c r="O17" s="52">
        <v>1446</v>
      </c>
      <c r="P17" s="52">
        <v>251</v>
      </c>
      <c r="Q17" s="211">
        <f t="shared" si="18"/>
        <v>19.361095265259557</v>
      </c>
      <c r="R17" s="52">
        <f t="shared" si="14"/>
        <v>1440</v>
      </c>
      <c r="S17" s="52">
        <v>1221</v>
      </c>
      <c r="T17" s="52">
        <v>219</v>
      </c>
      <c r="U17" s="211">
        <f t="shared" si="19"/>
        <v>17.73180642777983</v>
      </c>
    </row>
    <row r="18" spans="1:21" ht="20.100000000000001" customHeight="1">
      <c r="A18" s="46" t="s">
        <v>162</v>
      </c>
      <c r="B18" s="52">
        <f t="shared" si="10"/>
        <v>639</v>
      </c>
      <c r="C18" s="52">
        <v>540</v>
      </c>
      <c r="D18" s="52">
        <v>99</v>
      </c>
      <c r="E18" s="211">
        <f t="shared" si="15"/>
        <v>7.5639204545454541</v>
      </c>
      <c r="F18" s="52">
        <f t="shared" si="11"/>
        <v>618</v>
      </c>
      <c r="G18" s="52">
        <v>551</v>
      </c>
      <c r="H18" s="52">
        <v>67</v>
      </c>
      <c r="I18" s="211">
        <f t="shared" si="16"/>
        <v>7.7794561933534752</v>
      </c>
      <c r="J18" s="52">
        <f t="shared" si="12"/>
        <v>652</v>
      </c>
      <c r="K18" s="52">
        <v>560</v>
      </c>
      <c r="L18" s="52">
        <v>92</v>
      </c>
      <c r="M18" s="211">
        <f t="shared" si="17"/>
        <v>8.3280112402605706</v>
      </c>
      <c r="N18" s="52">
        <f t="shared" si="13"/>
        <v>555</v>
      </c>
      <c r="O18" s="52">
        <v>488</v>
      </c>
      <c r="P18" s="52">
        <v>67</v>
      </c>
      <c r="Q18" s="211">
        <f t="shared" si="18"/>
        <v>6.3320022818026249</v>
      </c>
      <c r="R18" s="52">
        <f t="shared" si="14"/>
        <v>590</v>
      </c>
      <c r="S18" s="52">
        <v>516</v>
      </c>
      <c r="T18" s="52">
        <v>74</v>
      </c>
      <c r="U18" s="211">
        <f t="shared" si="19"/>
        <v>7.2651151336042359</v>
      </c>
    </row>
    <row r="19" spans="1:21" ht="20.100000000000001" customHeight="1">
      <c r="A19" s="113" t="s">
        <v>163</v>
      </c>
      <c r="B19" s="214">
        <f t="shared" si="10"/>
        <v>385</v>
      </c>
      <c r="C19" s="214">
        <v>326</v>
      </c>
      <c r="D19" s="214">
        <v>59</v>
      </c>
      <c r="E19" s="215">
        <f t="shared" si="15"/>
        <v>4.5572916666666661</v>
      </c>
      <c r="F19" s="214">
        <f t="shared" si="11"/>
        <v>540</v>
      </c>
      <c r="G19" s="214">
        <v>460</v>
      </c>
      <c r="H19" s="214">
        <v>80</v>
      </c>
      <c r="I19" s="215">
        <f t="shared" si="16"/>
        <v>6.7975830815709974</v>
      </c>
      <c r="J19" s="214">
        <f t="shared" si="12"/>
        <v>472</v>
      </c>
      <c r="K19" s="214">
        <v>407</v>
      </c>
      <c r="L19" s="214">
        <v>65</v>
      </c>
      <c r="M19" s="215">
        <f t="shared" si="17"/>
        <v>6.0288670328266702</v>
      </c>
      <c r="N19" s="214">
        <f t="shared" si="13"/>
        <v>360</v>
      </c>
      <c r="O19" s="214">
        <v>306</v>
      </c>
      <c r="P19" s="214">
        <v>54</v>
      </c>
      <c r="Q19" s="215">
        <f t="shared" si="18"/>
        <v>4.1072447233314318</v>
      </c>
      <c r="R19" s="214">
        <f t="shared" si="14"/>
        <v>314</v>
      </c>
      <c r="S19" s="214">
        <v>264</v>
      </c>
      <c r="T19" s="214">
        <v>50</v>
      </c>
      <c r="U19" s="215">
        <f t="shared" si="19"/>
        <v>3.8665189016131016</v>
      </c>
    </row>
    <row r="20" spans="1:21">
      <c r="A20" s="339" t="s">
        <v>408</v>
      </c>
      <c r="B20" s="339"/>
      <c r="C20" s="339"/>
      <c r="D20" s="339"/>
    </row>
    <row r="21" spans="1:21" ht="30" customHeight="1">
      <c r="A21" s="370" t="s">
        <v>577</v>
      </c>
      <c r="B21" s="339"/>
      <c r="C21" s="339"/>
      <c r="D21" s="339"/>
      <c r="E21" s="339"/>
      <c r="F21" s="339"/>
      <c r="G21" s="339"/>
      <c r="H21" s="339"/>
      <c r="I21" s="339"/>
      <c r="J21" s="339"/>
      <c r="K21" s="339"/>
      <c r="L21" s="339"/>
      <c r="M21" s="339"/>
      <c r="N21" s="339"/>
      <c r="O21" s="339"/>
      <c r="P21" s="339"/>
      <c r="Q21" s="339"/>
      <c r="R21" s="339"/>
      <c r="S21" s="339"/>
      <c r="T21" s="339"/>
      <c r="U21" s="339"/>
    </row>
    <row r="22" spans="1:21" ht="20.100000000000001" customHeight="1"/>
    <row r="23" spans="1:21" ht="20.100000000000001" customHeight="1"/>
    <row r="24" spans="1:21" ht="20.100000000000001" customHeight="1"/>
  </sheetData>
  <sortState ref="A5:AO10">
    <sortCondition descending="1" ref="AL5:AL10"/>
  </sortState>
  <mergeCells count="35">
    <mergeCell ref="R11:U11"/>
    <mergeCell ref="B12:D12"/>
    <mergeCell ref="E12:E13"/>
    <mergeCell ref="F12:H12"/>
    <mergeCell ref="I12:I13"/>
    <mergeCell ref="J12:L12"/>
    <mergeCell ref="M12:M13"/>
    <mergeCell ref="N12:P12"/>
    <mergeCell ref="Q12:Q13"/>
    <mergeCell ref="R12:T12"/>
    <mergeCell ref="U12:U13"/>
    <mergeCell ref="A21:U21"/>
    <mergeCell ref="R3:T3"/>
    <mergeCell ref="A1:U1"/>
    <mergeCell ref="A2:A4"/>
    <mergeCell ref="B2:E2"/>
    <mergeCell ref="F2:I2"/>
    <mergeCell ref="J2:M2"/>
    <mergeCell ref="N2:Q2"/>
    <mergeCell ref="R2:U2"/>
    <mergeCell ref="B3:D3"/>
    <mergeCell ref="E3:E4"/>
    <mergeCell ref="F3:H3"/>
    <mergeCell ref="U3:U4"/>
    <mergeCell ref="M3:M4"/>
    <mergeCell ref="B11:E11"/>
    <mergeCell ref="F11:I11"/>
    <mergeCell ref="N3:P3"/>
    <mergeCell ref="Q3:Q4"/>
    <mergeCell ref="I3:I4"/>
    <mergeCell ref="J3:L3"/>
    <mergeCell ref="A20:D20"/>
    <mergeCell ref="A11:A13"/>
    <mergeCell ref="J11:M11"/>
    <mergeCell ref="N11:Q11"/>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4"/>
  <sheetViews>
    <sheetView showGridLines="0" showRuler="0" zoomScale="85" zoomScaleNormal="85" zoomScalePageLayoutView="125" workbookViewId="0">
      <pane xSplit="1" topLeftCell="B1" activePane="topRight" state="frozen"/>
      <selection activeCell="F17" sqref="F17"/>
      <selection pane="topRight" activeCell="P19" sqref="P19"/>
    </sheetView>
  </sheetViews>
  <sheetFormatPr defaultColWidth="9" defaultRowHeight="15.75"/>
  <cols>
    <col min="1" max="1" width="18.125" style="17" customWidth="1"/>
    <col min="2" max="3" width="9" style="17"/>
    <col min="4" max="4" width="8.125" style="17" customWidth="1"/>
    <col min="5" max="13" width="9" style="17"/>
    <col min="14" max="14" width="9" style="17" customWidth="1"/>
    <col min="15" max="16384" width="9" style="17"/>
  </cols>
  <sheetData>
    <row r="1" spans="1:11" ht="22.5" customHeight="1">
      <c r="A1" s="297" t="s">
        <v>851</v>
      </c>
      <c r="B1" s="297"/>
      <c r="C1" s="297"/>
      <c r="D1" s="297"/>
      <c r="E1" s="297"/>
      <c r="F1" s="297"/>
      <c r="G1" s="297"/>
      <c r="H1" s="297"/>
      <c r="I1" s="297"/>
      <c r="J1" s="297"/>
      <c r="K1" s="297"/>
    </row>
    <row r="2" spans="1:11" ht="20.100000000000001" customHeight="1">
      <c r="A2" s="18"/>
      <c r="B2" s="302" t="s">
        <v>574</v>
      </c>
      <c r="C2" s="302"/>
      <c r="D2" s="302" t="s">
        <v>30</v>
      </c>
      <c r="E2" s="302"/>
      <c r="F2" s="302" t="s">
        <v>31</v>
      </c>
      <c r="G2" s="302"/>
      <c r="H2" s="302" t="s">
        <v>32</v>
      </c>
      <c r="I2" s="302"/>
      <c r="J2" s="302" t="s">
        <v>33</v>
      </c>
      <c r="K2" s="302"/>
    </row>
    <row r="3" spans="1:11" s="36" customFormat="1" ht="20.100000000000001" customHeight="1">
      <c r="A3" s="30"/>
      <c r="B3" s="115" t="s">
        <v>121</v>
      </c>
      <c r="C3" s="115" t="s">
        <v>122</v>
      </c>
      <c r="D3" s="115" t="s">
        <v>121</v>
      </c>
      <c r="E3" s="115" t="s">
        <v>122</v>
      </c>
      <c r="F3" s="115" t="s">
        <v>59</v>
      </c>
      <c r="G3" s="115" t="s">
        <v>122</v>
      </c>
      <c r="H3" s="115" t="s">
        <v>59</v>
      </c>
      <c r="I3" s="115" t="s">
        <v>122</v>
      </c>
      <c r="J3" s="115" t="s">
        <v>59</v>
      </c>
      <c r="K3" s="115" t="s">
        <v>122</v>
      </c>
    </row>
    <row r="4" spans="1:11" ht="20.100000000000001" customHeight="1">
      <c r="A4" s="17" t="s">
        <v>125</v>
      </c>
      <c r="B4" s="119">
        <f>B5+B6</f>
        <v>11277</v>
      </c>
      <c r="C4" s="54">
        <f>SUM(C7:C11)</f>
        <v>100</v>
      </c>
      <c r="D4" s="119">
        <f>D5+D6</f>
        <v>10261</v>
      </c>
      <c r="E4" s="54">
        <f>SUM(E7:E11)</f>
        <v>100</v>
      </c>
      <c r="F4" s="119">
        <f>F5+F6</f>
        <v>9248</v>
      </c>
      <c r="G4" s="54">
        <f>SUM(G7:G11)</f>
        <v>100</v>
      </c>
      <c r="H4" s="119">
        <f t="shared" ref="H4:I4" si="0">SUM(H7:H11)</f>
        <v>8423</v>
      </c>
      <c r="I4" s="54">
        <f t="shared" si="0"/>
        <v>100</v>
      </c>
      <c r="J4" s="119">
        <f t="shared" ref="J4:K4" si="1">SUM(J7:J11)</f>
        <v>8046</v>
      </c>
      <c r="K4" s="54">
        <f t="shared" si="1"/>
        <v>100</v>
      </c>
    </row>
    <row r="5" spans="1:11" ht="16.5" customHeight="1">
      <c r="A5" s="23" t="s">
        <v>126</v>
      </c>
      <c r="B5" s="119">
        <v>9772</v>
      </c>
      <c r="C5" s="55">
        <f>IFERROR(B5/B$4*100,"-")</f>
        <v>86.6542520173805</v>
      </c>
      <c r="D5" s="119">
        <v>8860</v>
      </c>
      <c r="E5" s="55">
        <f>IFERROR(D5/D$4*100,"-")</f>
        <v>86.346360003898255</v>
      </c>
      <c r="F5" s="119">
        <v>8050</v>
      </c>
      <c r="G5" s="55">
        <f>IFERROR(F5/F$4*100,"-")</f>
        <v>87.04584775086505</v>
      </c>
      <c r="H5" s="119">
        <v>7287</v>
      </c>
      <c r="I5" s="55">
        <f>IFERROR(H5/H$4*100,"-")</f>
        <v>86.513118841267953</v>
      </c>
      <c r="J5" s="119">
        <v>6972</v>
      </c>
      <c r="K5" s="55">
        <f>IFERROR(J5/J$4*100,"-")</f>
        <v>86.651752423564503</v>
      </c>
    </row>
    <row r="6" spans="1:11" ht="17.25" customHeight="1">
      <c r="A6" s="120" t="s">
        <v>127</v>
      </c>
      <c r="B6" s="121">
        <v>1505</v>
      </c>
      <c r="C6" s="56">
        <f t="shared" ref="C6:E11" si="2">IFERROR(B6/B$4*100,"-")</f>
        <v>13.345747982619491</v>
      </c>
      <c r="D6" s="121">
        <v>1401</v>
      </c>
      <c r="E6" s="56">
        <f t="shared" si="2"/>
        <v>13.653639996101743</v>
      </c>
      <c r="F6" s="121">
        <v>1198</v>
      </c>
      <c r="G6" s="56">
        <f t="shared" ref="G6" si="3">IFERROR(F6/F$4*100,"-")</f>
        <v>12.954152249134948</v>
      </c>
      <c r="H6" s="121">
        <v>1136</v>
      </c>
      <c r="I6" s="56">
        <f t="shared" ref="I6" si="4">IFERROR(H6/H$4*100,"-")</f>
        <v>13.486881158732041</v>
      </c>
      <c r="J6" s="121">
        <v>1074</v>
      </c>
      <c r="K6" s="56">
        <f t="shared" ref="K6" si="5">IFERROR(J6/J$4*100,"-")</f>
        <v>13.348247576435496</v>
      </c>
    </row>
    <row r="7" spans="1:11" ht="20.100000000000001" customHeight="1">
      <c r="A7" s="46" t="s">
        <v>165</v>
      </c>
      <c r="B7" s="119">
        <v>6174</v>
      </c>
      <c r="C7" s="55">
        <f t="shared" si="2"/>
        <v>54.748603351955303</v>
      </c>
      <c r="D7" s="119">
        <v>5504</v>
      </c>
      <c r="E7" s="55">
        <f t="shared" si="2"/>
        <v>53.639996101744472</v>
      </c>
      <c r="F7" s="119">
        <v>4993</v>
      </c>
      <c r="G7" s="55">
        <f t="shared" ref="G7" si="6">IFERROR(F7/F$4*100,"-")</f>
        <v>53.990051903114193</v>
      </c>
      <c r="H7" s="119">
        <v>4657</v>
      </c>
      <c r="I7" s="55">
        <f t="shared" ref="I7" si="7">IFERROR(H7/H$4*100,"-")</f>
        <v>55.289089398076698</v>
      </c>
      <c r="J7" s="119">
        <v>4494</v>
      </c>
      <c r="K7" s="55">
        <f t="shared" ref="K7" si="8">IFERROR(J7/J$4*100,"-")</f>
        <v>55.853840417598811</v>
      </c>
    </row>
    <row r="8" spans="1:11" ht="20.100000000000001" customHeight="1">
      <c r="A8" s="46" t="s">
        <v>166</v>
      </c>
      <c r="B8" s="119">
        <v>3800</v>
      </c>
      <c r="C8" s="55">
        <f t="shared" si="2"/>
        <v>33.696905205285091</v>
      </c>
      <c r="D8" s="119">
        <v>3477</v>
      </c>
      <c r="E8" s="55">
        <f t="shared" si="2"/>
        <v>33.885586200175425</v>
      </c>
      <c r="F8" s="119">
        <v>3044</v>
      </c>
      <c r="G8" s="55">
        <f t="shared" ref="G8" si="9">IFERROR(F8/F$4*100,"-")</f>
        <v>32.915224913494811</v>
      </c>
      <c r="H8" s="119">
        <v>2635</v>
      </c>
      <c r="I8" s="55">
        <f t="shared" ref="I8" si="10">IFERROR(H8/H$4*100,"-")</f>
        <v>31.283390715896946</v>
      </c>
      <c r="J8" s="119">
        <v>2470</v>
      </c>
      <c r="K8" s="55">
        <f t="shared" ref="K8" si="11">IFERROR(J8/J$4*100,"-")</f>
        <v>30.698483718617947</v>
      </c>
    </row>
    <row r="9" spans="1:11" ht="20.100000000000001" customHeight="1">
      <c r="A9" s="46" t="s">
        <v>167</v>
      </c>
      <c r="B9" s="119">
        <v>1120</v>
      </c>
      <c r="C9" s="55">
        <f t="shared" si="2"/>
        <v>9.931719428926133</v>
      </c>
      <c r="D9" s="119">
        <v>1107</v>
      </c>
      <c r="E9" s="55">
        <f t="shared" si="2"/>
        <v>10.788422181073971</v>
      </c>
      <c r="F9" s="119">
        <v>1090</v>
      </c>
      <c r="G9" s="55">
        <f t="shared" ref="G9" si="12">IFERROR(F9/F$4*100,"-")</f>
        <v>11.786332179930795</v>
      </c>
      <c r="H9" s="119">
        <v>997</v>
      </c>
      <c r="I9" s="55">
        <f t="shared" ref="I9" si="13">IFERROR(H9/H$4*100,"-")</f>
        <v>11.83663777751395</v>
      </c>
      <c r="J9" s="119">
        <v>962</v>
      </c>
      <c r="K9" s="55">
        <f t="shared" ref="K9" si="14">IFERROR(J9/J$4*100,"-")</f>
        <v>11.95625155356699</v>
      </c>
    </row>
    <row r="10" spans="1:11" ht="20.100000000000001" customHeight="1">
      <c r="A10" s="46" t="s">
        <v>168</v>
      </c>
      <c r="B10" s="119">
        <v>183</v>
      </c>
      <c r="C10" s="55">
        <f t="shared" si="2"/>
        <v>1.6227720138334665</v>
      </c>
      <c r="D10" s="119">
        <v>173</v>
      </c>
      <c r="E10" s="55">
        <f t="shared" si="2"/>
        <v>1.6859955170061398</v>
      </c>
      <c r="F10" s="119">
        <v>121</v>
      </c>
      <c r="G10" s="55">
        <f t="shared" ref="G10" si="15">IFERROR(F10/F$4*100,"-")</f>
        <v>1.3083910034602075</v>
      </c>
      <c r="H10" s="119">
        <v>134</v>
      </c>
      <c r="I10" s="55">
        <f t="shared" ref="I10" si="16">IFERROR(H10/H$4*100,"-")</f>
        <v>1.5908821085124063</v>
      </c>
      <c r="J10" s="119">
        <v>120</v>
      </c>
      <c r="K10" s="55">
        <f t="shared" ref="K10" si="17">IFERROR(J10/J$4*100,"-")</f>
        <v>1.4914243102162565</v>
      </c>
    </row>
    <row r="11" spans="1:11" ht="20.100000000000001" customHeight="1" thickBot="1">
      <c r="A11" s="180" t="s">
        <v>169</v>
      </c>
      <c r="B11" s="131" t="s">
        <v>19</v>
      </c>
      <c r="C11" s="57" t="str">
        <f t="shared" si="2"/>
        <v>-</v>
      </c>
      <c r="D11" s="131" t="s">
        <v>19</v>
      </c>
      <c r="E11" s="57" t="str">
        <f t="shared" si="2"/>
        <v>-</v>
      </c>
      <c r="F11" s="131" t="s">
        <v>19</v>
      </c>
      <c r="G11" s="57" t="str">
        <f t="shared" ref="G11" si="18">IFERROR(F11/F$4*100,"-")</f>
        <v>-</v>
      </c>
      <c r="H11" s="131" t="s">
        <v>19</v>
      </c>
      <c r="I11" s="57" t="str">
        <f t="shared" ref="I11" si="19">IFERROR(H11/H$4*100,"-")</f>
        <v>-</v>
      </c>
      <c r="J11" s="131" t="s">
        <v>19</v>
      </c>
      <c r="K11" s="57" t="str">
        <f t="shared" ref="K11" si="20">IFERROR(J11/J$4*100,"-")</f>
        <v>-</v>
      </c>
    </row>
    <row r="12" spans="1:11" ht="20.100000000000001" customHeight="1">
      <c r="A12" s="30"/>
      <c r="B12" s="343" t="s">
        <v>34</v>
      </c>
      <c r="C12" s="343"/>
      <c r="D12" s="343" t="s">
        <v>35</v>
      </c>
      <c r="E12" s="343"/>
      <c r="F12" s="343" t="s">
        <v>36</v>
      </c>
      <c r="G12" s="343"/>
      <c r="H12" s="343" t="s">
        <v>37</v>
      </c>
      <c r="I12" s="343"/>
      <c r="J12" s="343" t="s">
        <v>567</v>
      </c>
      <c r="K12" s="343"/>
    </row>
    <row r="13" spans="1:11" s="36" customFormat="1" ht="20.100000000000001" customHeight="1">
      <c r="A13" s="30"/>
      <c r="B13" s="115" t="s">
        <v>58</v>
      </c>
      <c r="C13" s="115" t="s">
        <v>122</v>
      </c>
      <c r="D13" s="115" t="s">
        <v>58</v>
      </c>
      <c r="E13" s="115" t="s">
        <v>4</v>
      </c>
      <c r="F13" s="115" t="s">
        <v>58</v>
      </c>
      <c r="G13" s="115" t="s">
        <v>122</v>
      </c>
      <c r="H13" s="115" t="s">
        <v>58</v>
      </c>
      <c r="I13" s="115" t="s">
        <v>4</v>
      </c>
      <c r="J13" s="115" t="s">
        <v>58</v>
      </c>
      <c r="K13" s="115" t="s">
        <v>122</v>
      </c>
    </row>
    <row r="14" spans="1:11" ht="20.100000000000001" customHeight="1">
      <c r="A14" s="17" t="s">
        <v>136</v>
      </c>
      <c r="B14" s="119">
        <f>SUM(B17:B21)</f>
        <v>8329</v>
      </c>
      <c r="C14" s="54">
        <f>SUM(C17:C21)</f>
        <v>100</v>
      </c>
      <c r="D14" s="119">
        <f>SUM(D17:D21)</f>
        <v>7836</v>
      </c>
      <c r="E14" s="54">
        <f>SUM(E17:E21)</f>
        <v>99.999999999999986</v>
      </c>
      <c r="F14" s="119">
        <f t="shared" ref="F14:G14" si="21">SUM(F17:F21)</f>
        <v>7714</v>
      </c>
      <c r="G14" s="54">
        <f t="shared" si="21"/>
        <v>99.999999999999986</v>
      </c>
      <c r="H14" s="123">
        <f>SUM(H17:H21)</f>
        <v>8657</v>
      </c>
      <c r="I14" s="54">
        <f>SUM(I17:I21)</f>
        <v>99.999999999999986</v>
      </c>
      <c r="J14" s="123">
        <f>SUM(J17:J21)</f>
        <v>8017</v>
      </c>
      <c r="K14" s="54">
        <f>SUM(K17:K21)</f>
        <v>99.999999999999986</v>
      </c>
    </row>
    <row r="15" spans="1:11" ht="16.5" customHeight="1">
      <c r="A15" s="23" t="s">
        <v>170</v>
      </c>
      <c r="B15" s="119">
        <v>7251</v>
      </c>
      <c r="C15" s="55">
        <f>IFERROR(B15/B$14*100,"-")</f>
        <v>87.05726978028575</v>
      </c>
      <c r="D15" s="119">
        <v>6810</v>
      </c>
      <c r="E15" s="55">
        <f>IFERROR(D15/D$14*100,"-")</f>
        <v>86.906584992343028</v>
      </c>
      <c r="F15" s="119">
        <v>6709</v>
      </c>
      <c r="G15" s="55">
        <f>IFERROR(F15/F$14*100,"-")</f>
        <v>86.971739694062748</v>
      </c>
      <c r="H15" s="44">
        <v>7524</v>
      </c>
      <c r="I15" s="55">
        <f>IFERROR(H15/H$14*100,"-")</f>
        <v>86.912325285895804</v>
      </c>
      <c r="J15" s="44">
        <v>6949</v>
      </c>
      <c r="K15" s="55">
        <f>IFERROR(J15/J$14*100,"-")</f>
        <v>86.678308594237237</v>
      </c>
    </row>
    <row r="16" spans="1:11" ht="17.25" customHeight="1">
      <c r="A16" s="120" t="s">
        <v>171</v>
      </c>
      <c r="B16" s="121">
        <v>1078</v>
      </c>
      <c r="C16" s="56">
        <f t="shared" ref="C16:E21" si="22">IFERROR(B16/B$14*100,"-")</f>
        <v>12.942730219714251</v>
      </c>
      <c r="D16" s="121">
        <v>1026</v>
      </c>
      <c r="E16" s="56">
        <f t="shared" si="22"/>
        <v>13.093415007656967</v>
      </c>
      <c r="F16" s="121">
        <v>1005</v>
      </c>
      <c r="G16" s="56">
        <f t="shared" ref="G16" si="23">IFERROR(F16/F$14*100,"-")</f>
        <v>13.028260305937255</v>
      </c>
      <c r="H16" s="69">
        <v>1133</v>
      </c>
      <c r="I16" s="56">
        <f t="shared" ref="I16" si="24">IFERROR(H16/H$14*100,"-")</f>
        <v>13.087674714104194</v>
      </c>
      <c r="J16" s="69">
        <v>1068</v>
      </c>
      <c r="K16" s="56">
        <f t="shared" ref="K16" si="25">IFERROR(J16/J$14*100,"-")</f>
        <v>13.321691405762753</v>
      </c>
    </row>
    <row r="17" spans="1:11" ht="20.100000000000001" customHeight="1">
      <c r="A17" s="46" t="s">
        <v>172</v>
      </c>
      <c r="B17" s="119">
        <v>4644</v>
      </c>
      <c r="C17" s="55">
        <f t="shared" si="22"/>
        <v>55.756993636691078</v>
      </c>
      <c r="D17" s="119">
        <v>4478</v>
      </c>
      <c r="E17" s="55">
        <f t="shared" si="22"/>
        <v>57.146503318019391</v>
      </c>
      <c r="F17" s="119">
        <v>4355</v>
      </c>
      <c r="G17" s="55">
        <f t="shared" ref="G17" si="26">IFERROR(F17/F$14*100,"-")</f>
        <v>56.455794659061439</v>
      </c>
      <c r="H17" s="44">
        <v>4954</v>
      </c>
      <c r="I17" s="55">
        <f t="shared" ref="I17" si="27">IFERROR(H17/H$14*100,"-")</f>
        <v>57.225366755226979</v>
      </c>
      <c r="J17" s="44">
        <v>4452</v>
      </c>
      <c r="K17" s="55">
        <f t="shared" ref="K17" si="28">IFERROR(J17/J$14*100,"-")</f>
        <v>55.531994511662717</v>
      </c>
    </row>
    <row r="18" spans="1:11" ht="20.100000000000001" customHeight="1">
      <c r="A18" s="46" t="s">
        <v>166</v>
      </c>
      <c r="B18" s="119">
        <v>2536</v>
      </c>
      <c r="C18" s="55">
        <f t="shared" si="22"/>
        <v>30.447832873094011</v>
      </c>
      <c r="D18" s="119">
        <v>2321</v>
      </c>
      <c r="E18" s="55">
        <f t="shared" si="22"/>
        <v>29.619703930576826</v>
      </c>
      <c r="F18" s="119">
        <v>2306</v>
      </c>
      <c r="G18" s="55">
        <f t="shared" ref="G18" si="29">IFERROR(F18/F$14*100,"-")</f>
        <v>29.89369976665802</v>
      </c>
      <c r="H18" s="44">
        <v>2512</v>
      </c>
      <c r="I18" s="55">
        <f t="shared" ref="I18" si="30">IFERROR(H18/H$14*100,"-")</f>
        <v>29.016980478225712</v>
      </c>
      <c r="J18" s="44">
        <v>2413</v>
      </c>
      <c r="K18" s="55">
        <f t="shared" ref="K18" si="31">IFERROR(J18/J$14*100,"-")</f>
        <v>30.0985406012224</v>
      </c>
    </row>
    <row r="19" spans="1:11" ht="20.100000000000001" customHeight="1">
      <c r="A19" s="46" t="s">
        <v>167</v>
      </c>
      <c r="B19" s="119">
        <v>1020</v>
      </c>
      <c r="C19" s="55">
        <f t="shared" si="22"/>
        <v>12.246368111417938</v>
      </c>
      <c r="D19" s="119">
        <v>869</v>
      </c>
      <c r="E19" s="55">
        <f t="shared" si="22"/>
        <v>11.089841755997957</v>
      </c>
      <c r="F19" s="119">
        <v>904</v>
      </c>
      <c r="G19" s="55">
        <f t="shared" ref="G19" si="32">IFERROR(F19/F$14*100,"-")</f>
        <v>11.718952553798289</v>
      </c>
      <c r="H19" s="44">
        <v>980</v>
      </c>
      <c r="I19" s="55">
        <f t="shared" ref="I19" si="33">IFERROR(H19/H$14*100,"-")</f>
        <v>11.320318817142198</v>
      </c>
      <c r="J19" s="44">
        <v>951</v>
      </c>
      <c r="K19" s="55">
        <f t="shared" ref="K19" si="34">IFERROR(J19/J$14*100,"-")</f>
        <v>11.86229262816515</v>
      </c>
    </row>
    <row r="20" spans="1:11" ht="20.100000000000001" customHeight="1">
      <c r="A20" s="46" t="s">
        <v>173</v>
      </c>
      <c r="B20" s="119">
        <v>129</v>
      </c>
      <c r="C20" s="55">
        <f t="shared" si="22"/>
        <v>1.5488053787969744</v>
      </c>
      <c r="D20" s="119">
        <v>156</v>
      </c>
      <c r="E20" s="55">
        <f t="shared" si="22"/>
        <v>1.9908116385911179</v>
      </c>
      <c r="F20" s="119">
        <v>109</v>
      </c>
      <c r="G20" s="55">
        <f t="shared" ref="G20" si="35">IFERROR(F20/F$14*100,"-")</f>
        <v>1.4130152968628467</v>
      </c>
      <c r="H20" s="44">
        <v>143</v>
      </c>
      <c r="I20" s="55">
        <f t="shared" ref="I20" si="36">IFERROR(H20/H$14*100,"-")</f>
        <v>1.6518424396442184</v>
      </c>
      <c r="J20" s="44">
        <v>155</v>
      </c>
      <c r="K20" s="55">
        <f t="shared" ref="K20" si="37">IFERROR(J20/J$14*100,"-")</f>
        <v>1.9333915429711863</v>
      </c>
    </row>
    <row r="21" spans="1:11" ht="20.100000000000001" customHeight="1">
      <c r="A21" s="113" t="s">
        <v>169</v>
      </c>
      <c r="B21" s="121" t="s">
        <v>19</v>
      </c>
      <c r="C21" s="56" t="str">
        <f t="shared" si="22"/>
        <v>-</v>
      </c>
      <c r="D21" s="121">
        <v>12</v>
      </c>
      <c r="E21" s="56">
        <f t="shared" si="22"/>
        <v>0.15313935681470139</v>
      </c>
      <c r="F21" s="121">
        <v>40</v>
      </c>
      <c r="G21" s="56">
        <f t="shared" ref="G21" si="38">IFERROR(F21/F$14*100,"-")</f>
        <v>0.51853772361939332</v>
      </c>
      <c r="H21" s="69">
        <v>68</v>
      </c>
      <c r="I21" s="56">
        <f t="shared" ref="I21" si="39">IFERROR(H21/H$14*100,"-")</f>
        <v>0.78549150976088711</v>
      </c>
      <c r="J21" s="69">
        <v>46</v>
      </c>
      <c r="K21" s="56">
        <f t="shared" ref="K21" si="40">IFERROR(J21/J$14*100,"-")</f>
        <v>0.57378071597854563</v>
      </c>
    </row>
    <row r="22" spans="1:11" s="1" customFormat="1">
      <c r="A22" s="374" t="s">
        <v>404</v>
      </c>
      <c r="B22" s="375"/>
      <c r="C22" s="375"/>
      <c r="E22" s="42"/>
      <c r="F22" s="48"/>
      <c r="G22" s="49"/>
      <c r="H22" s="48"/>
      <c r="I22" s="49"/>
      <c r="J22" s="48"/>
      <c r="K22" s="48"/>
    </row>
    <row r="23" spans="1:11" s="1" customFormat="1" ht="45.75" customHeight="1">
      <c r="A23" s="383" t="s">
        <v>623</v>
      </c>
      <c r="B23" s="383"/>
      <c r="C23" s="383"/>
      <c r="D23" s="383"/>
      <c r="E23" s="383"/>
      <c r="F23" s="383"/>
      <c r="G23" s="383"/>
      <c r="H23" s="383"/>
      <c r="I23" s="383"/>
      <c r="J23" s="383"/>
      <c r="K23" s="383"/>
    </row>
    <row r="24" spans="1:11">
      <c r="A24" s="382" t="s">
        <v>174</v>
      </c>
      <c r="B24" s="382"/>
      <c r="C24" s="382"/>
      <c r="D24" s="382"/>
      <c r="E24" s="382"/>
      <c r="F24" s="382"/>
      <c r="G24" s="382"/>
    </row>
  </sheetData>
  <mergeCells count="14">
    <mergeCell ref="A24:G24"/>
    <mergeCell ref="A23:K23"/>
    <mergeCell ref="A22:C22"/>
    <mergeCell ref="A1:K1"/>
    <mergeCell ref="B2:C2"/>
    <mergeCell ref="D2:E2"/>
    <mergeCell ref="F2:G2"/>
    <mergeCell ref="H2:I2"/>
    <mergeCell ref="J2:K2"/>
    <mergeCell ref="B12:C12"/>
    <mergeCell ref="D12:E12"/>
    <mergeCell ref="F12:G12"/>
    <mergeCell ref="H12:I12"/>
    <mergeCell ref="J12:K1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72"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1"/>
  <sheetViews>
    <sheetView showGridLines="0" showRuler="0" zoomScaleNormal="100" zoomScalePageLayoutView="125" workbookViewId="0">
      <pane xSplit="1" topLeftCell="B1" activePane="topRight" state="frozen"/>
      <selection activeCell="F17" sqref="F17"/>
      <selection pane="topRight" activeCell="F17" sqref="F17"/>
    </sheetView>
  </sheetViews>
  <sheetFormatPr defaultColWidth="9" defaultRowHeight="15.75"/>
  <cols>
    <col min="1" max="1" width="15.875" style="17" customWidth="1"/>
    <col min="2" max="3" width="9" style="17"/>
    <col min="4" max="4" width="8.875" style="17" customWidth="1"/>
    <col min="5" max="7" width="9" style="17"/>
    <col min="8" max="8" width="10" style="17" bestFit="1" customWidth="1"/>
    <col min="9" max="9" width="10.125" style="17" customWidth="1"/>
    <col min="10" max="16384" width="9" style="17"/>
  </cols>
  <sheetData>
    <row r="1" spans="1:11" ht="21.75" customHeight="1">
      <c r="A1" s="297" t="s">
        <v>852</v>
      </c>
      <c r="B1" s="297"/>
      <c r="C1" s="297"/>
      <c r="D1" s="297"/>
      <c r="E1" s="297"/>
      <c r="F1" s="297"/>
      <c r="G1" s="297"/>
      <c r="H1" s="297"/>
      <c r="I1" s="297"/>
      <c r="J1" s="297"/>
      <c r="K1" s="297"/>
    </row>
    <row r="2" spans="1:11" ht="19.350000000000001" customHeight="1">
      <c r="A2" s="18"/>
      <c r="B2" s="302" t="s">
        <v>574</v>
      </c>
      <c r="C2" s="302"/>
      <c r="D2" s="302" t="s">
        <v>30</v>
      </c>
      <c r="E2" s="302"/>
      <c r="F2" s="302" t="s">
        <v>31</v>
      </c>
      <c r="G2" s="302"/>
      <c r="H2" s="302" t="s">
        <v>32</v>
      </c>
      <c r="I2" s="302"/>
      <c r="J2" s="302" t="s">
        <v>33</v>
      </c>
      <c r="K2" s="302"/>
    </row>
    <row r="3" spans="1:11" s="36" customFormat="1" ht="19.350000000000001" customHeight="1">
      <c r="A3" s="30"/>
      <c r="B3" s="115" t="s">
        <v>175</v>
      </c>
      <c r="C3" s="115" t="s">
        <v>176</v>
      </c>
      <c r="D3" s="115" t="s">
        <v>177</v>
      </c>
      <c r="E3" s="115" t="s">
        <v>176</v>
      </c>
      <c r="F3" s="115" t="s">
        <v>177</v>
      </c>
      <c r="G3" s="115" t="s">
        <v>176</v>
      </c>
      <c r="H3" s="115" t="s">
        <v>177</v>
      </c>
      <c r="I3" s="115" t="s">
        <v>5</v>
      </c>
      <c r="J3" s="115" t="s">
        <v>177</v>
      </c>
      <c r="K3" s="115" t="s">
        <v>176</v>
      </c>
    </row>
    <row r="4" spans="1:11" ht="19.350000000000001" customHeight="1">
      <c r="A4" s="46" t="s">
        <v>178</v>
      </c>
      <c r="B4" s="76">
        <f t="shared" ref="B4:I4" si="0">SUM(B5:B9)</f>
        <v>11383</v>
      </c>
      <c r="C4" s="20">
        <f t="shared" si="0"/>
        <v>100</v>
      </c>
      <c r="D4" s="76">
        <f t="shared" si="0"/>
        <v>10374</v>
      </c>
      <c r="E4" s="20">
        <f t="shared" si="0"/>
        <v>100</v>
      </c>
      <c r="F4" s="76">
        <f t="shared" si="0"/>
        <v>9359</v>
      </c>
      <c r="G4" s="20">
        <f t="shared" si="0"/>
        <v>100</v>
      </c>
      <c r="H4" s="76">
        <f t="shared" si="0"/>
        <v>8568</v>
      </c>
      <c r="I4" s="20">
        <f t="shared" si="0"/>
        <v>100</v>
      </c>
      <c r="J4" s="76">
        <f>SUM(J5:J9)</f>
        <v>8132</v>
      </c>
      <c r="K4" s="20">
        <f>SUM(K5:K9)</f>
        <v>100</v>
      </c>
    </row>
    <row r="5" spans="1:11" ht="19.350000000000001" customHeight="1">
      <c r="A5" s="46" t="s">
        <v>179</v>
      </c>
      <c r="B5" s="27">
        <v>9847</v>
      </c>
      <c r="C5" s="21">
        <f>IFERROR(B5/B$4*100,"-")</f>
        <v>86.506193446367391</v>
      </c>
      <c r="D5" s="27">
        <v>8919</v>
      </c>
      <c r="E5" s="21">
        <f>IFERROR(D5/D$4*100,"-")</f>
        <v>85.974551764025449</v>
      </c>
      <c r="F5" s="27">
        <v>8118</v>
      </c>
      <c r="G5" s="21">
        <f>IFERROR(F5/F$4*100,"-")</f>
        <v>86.740036328667586</v>
      </c>
      <c r="H5" s="27">
        <v>7469</v>
      </c>
      <c r="I5" s="21">
        <f>IFERROR(H5/H$4*100,"-")</f>
        <v>87.173202614379079</v>
      </c>
      <c r="J5" s="27">
        <v>7117</v>
      </c>
      <c r="K5" s="21">
        <f>IFERROR(J5/J$4*100,"-")</f>
        <v>87.518445646827345</v>
      </c>
    </row>
    <row r="6" spans="1:11" ht="19.350000000000001" customHeight="1">
      <c r="A6" s="46" t="s">
        <v>180</v>
      </c>
      <c r="B6" s="27">
        <v>916</v>
      </c>
      <c r="C6" s="21">
        <f t="shared" ref="C6:E9" si="1">IFERROR(B6/B$4*100,"-")</f>
        <v>8.0470877624527795</v>
      </c>
      <c r="D6" s="27">
        <v>851</v>
      </c>
      <c r="E6" s="21">
        <f t="shared" si="1"/>
        <v>8.203200308463467</v>
      </c>
      <c r="F6" s="27">
        <v>793</v>
      </c>
      <c r="G6" s="21">
        <f t="shared" ref="G6" si="2">IFERROR(F6/F$4*100,"-")</f>
        <v>8.4731274708836413</v>
      </c>
      <c r="H6" s="27">
        <v>725</v>
      </c>
      <c r="I6" s="21">
        <f t="shared" ref="I6" si="3">IFERROR(H6/H$4*100,"-")</f>
        <v>8.4617180205415501</v>
      </c>
      <c r="J6" s="27">
        <v>666</v>
      </c>
      <c r="K6" s="21">
        <f t="shared" ref="K6" si="4">IFERROR(J6/J$4*100,"-")</f>
        <v>8.1898671913428434</v>
      </c>
    </row>
    <row r="7" spans="1:11" ht="19.350000000000001" customHeight="1">
      <c r="A7" s="46" t="s">
        <v>181</v>
      </c>
      <c r="B7" s="27">
        <v>265</v>
      </c>
      <c r="C7" s="21">
        <f t="shared" si="1"/>
        <v>2.3280330317139595</v>
      </c>
      <c r="D7" s="27">
        <v>274</v>
      </c>
      <c r="E7" s="21">
        <f t="shared" si="1"/>
        <v>2.6412184306921151</v>
      </c>
      <c r="F7" s="27">
        <v>157</v>
      </c>
      <c r="G7" s="21">
        <f t="shared" ref="G7" si="5">IFERROR(F7/F$4*100,"-")</f>
        <v>1.6775296506036972</v>
      </c>
      <c r="H7" s="27">
        <v>115</v>
      </c>
      <c r="I7" s="21">
        <f t="shared" ref="I7" si="6">IFERROR(H7/H$4*100,"-")</f>
        <v>1.3422035480859009</v>
      </c>
      <c r="J7" s="27">
        <v>105</v>
      </c>
      <c r="K7" s="21">
        <f t="shared" ref="K7" si="7">IFERROR(J7/J$4*100,"-")</f>
        <v>1.2911952779144122</v>
      </c>
    </row>
    <row r="8" spans="1:11" ht="19.350000000000001" customHeight="1">
      <c r="A8" s="46" t="s">
        <v>182</v>
      </c>
      <c r="B8" s="27">
        <v>293</v>
      </c>
      <c r="C8" s="21">
        <f t="shared" si="1"/>
        <v>2.5740138803478874</v>
      </c>
      <c r="D8" s="27">
        <v>277</v>
      </c>
      <c r="E8" s="21">
        <f t="shared" si="1"/>
        <v>2.6701368806631964</v>
      </c>
      <c r="F8" s="27">
        <v>242</v>
      </c>
      <c r="G8" s="21">
        <f t="shared" ref="G8" si="8">IFERROR(F8/F$4*100,"-")</f>
        <v>2.5857463404209851</v>
      </c>
      <c r="H8" s="27">
        <v>217</v>
      </c>
      <c r="I8" s="21">
        <f t="shared" ref="I8" si="9">IFERROR(H8/H$4*100,"-")</f>
        <v>2.5326797385620914</v>
      </c>
      <c r="J8" s="27">
        <v>216</v>
      </c>
      <c r="K8" s="21">
        <f t="shared" ref="K8" si="10">IFERROR(J8/J$4*100,"-")</f>
        <v>2.6561731431382194</v>
      </c>
    </row>
    <row r="9" spans="1:11" ht="19.350000000000001" customHeight="1" thickBot="1">
      <c r="A9" s="180" t="s">
        <v>183</v>
      </c>
      <c r="B9" s="125">
        <v>62</v>
      </c>
      <c r="C9" s="37">
        <f t="shared" si="1"/>
        <v>0.54467187911798298</v>
      </c>
      <c r="D9" s="125">
        <v>53</v>
      </c>
      <c r="E9" s="37">
        <f t="shared" si="1"/>
        <v>0.51089261615577408</v>
      </c>
      <c r="F9" s="125">
        <v>49</v>
      </c>
      <c r="G9" s="37">
        <f t="shared" ref="G9" si="11">IFERROR(F9/F$4*100,"-")</f>
        <v>0.52356020942408377</v>
      </c>
      <c r="H9" s="125">
        <v>42</v>
      </c>
      <c r="I9" s="37">
        <f t="shared" ref="I9" si="12">IFERROR(H9/H$4*100,"-")</f>
        <v>0.49019607843137253</v>
      </c>
      <c r="J9" s="125">
        <v>28</v>
      </c>
      <c r="K9" s="37">
        <f t="shared" ref="K9" si="13">IFERROR(J9/J$4*100,"-")</f>
        <v>0.34431874077717661</v>
      </c>
    </row>
    <row r="10" spans="1:11" ht="19.350000000000001" customHeight="1">
      <c r="A10" s="30"/>
      <c r="B10" s="343" t="s">
        <v>34</v>
      </c>
      <c r="C10" s="343"/>
      <c r="D10" s="343" t="s">
        <v>35</v>
      </c>
      <c r="E10" s="343"/>
      <c r="F10" s="343" t="s">
        <v>36</v>
      </c>
      <c r="G10" s="343"/>
      <c r="H10" s="343" t="s">
        <v>37</v>
      </c>
      <c r="I10" s="343"/>
      <c r="J10" s="343" t="s">
        <v>567</v>
      </c>
      <c r="K10" s="343"/>
    </row>
    <row r="11" spans="1:11" s="36" customFormat="1" ht="19.350000000000001" customHeight="1">
      <c r="A11" s="30"/>
      <c r="B11" s="115" t="s">
        <v>58</v>
      </c>
      <c r="C11" s="115" t="s">
        <v>4</v>
      </c>
      <c r="D11" s="115" t="s">
        <v>58</v>
      </c>
      <c r="E11" s="115" t="s">
        <v>4</v>
      </c>
      <c r="F11" s="115" t="s">
        <v>58</v>
      </c>
      <c r="G11" s="115" t="s">
        <v>4</v>
      </c>
      <c r="H11" s="115" t="s">
        <v>58</v>
      </c>
      <c r="I11" s="115" t="s">
        <v>4</v>
      </c>
      <c r="J11" s="115" t="s">
        <v>58</v>
      </c>
      <c r="K11" s="115" t="s">
        <v>4</v>
      </c>
    </row>
    <row r="12" spans="1:11" ht="19.350000000000001" customHeight="1">
      <c r="A12" s="46" t="s">
        <v>164</v>
      </c>
      <c r="B12" s="76">
        <f t="shared" ref="B12:I12" si="14">SUM(B13:B17)</f>
        <v>8448</v>
      </c>
      <c r="C12" s="20">
        <f t="shared" si="14"/>
        <v>99.999999999999986</v>
      </c>
      <c r="D12" s="76">
        <f t="shared" si="14"/>
        <v>7944</v>
      </c>
      <c r="E12" s="20">
        <f t="shared" si="14"/>
        <v>100</v>
      </c>
      <c r="F12" s="76">
        <f t="shared" si="14"/>
        <v>7829</v>
      </c>
      <c r="G12" s="20">
        <f t="shared" si="14"/>
        <v>100</v>
      </c>
      <c r="H12" s="76">
        <f t="shared" si="14"/>
        <v>8765</v>
      </c>
      <c r="I12" s="20">
        <f t="shared" si="14"/>
        <v>100</v>
      </c>
      <c r="J12" s="76">
        <f t="shared" ref="J12:K12" si="15">SUM(J13:J17)</f>
        <v>8121</v>
      </c>
      <c r="K12" s="20">
        <f t="shared" si="15"/>
        <v>100.00000000000001</v>
      </c>
    </row>
    <row r="13" spans="1:11" ht="19.350000000000001" customHeight="1">
      <c r="A13" s="46" t="s">
        <v>179</v>
      </c>
      <c r="B13" s="27">
        <v>7390</v>
      </c>
      <c r="C13" s="21">
        <f>IFERROR(B13/B$12*100,"-")</f>
        <v>87.476325757575751</v>
      </c>
      <c r="D13" s="27">
        <v>6887</v>
      </c>
      <c r="E13" s="21">
        <f>IFERROR(D13/D$12*100,"-")</f>
        <v>86.694360523665665</v>
      </c>
      <c r="F13" s="27">
        <v>6757</v>
      </c>
      <c r="G13" s="21">
        <f>IFERROR(F13/F$12*100,"-")</f>
        <v>86.307318942393664</v>
      </c>
      <c r="H13" s="44">
        <v>7523</v>
      </c>
      <c r="I13" s="21">
        <f>IFERROR(H13/H$12*100,"-")</f>
        <v>85.830005704506561</v>
      </c>
      <c r="J13" s="44">
        <v>6980</v>
      </c>
      <c r="K13" s="21">
        <f>IFERROR(J13/J$12*100,"-")</f>
        <v>85.950006156877237</v>
      </c>
    </row>
    <row r="14" spans="1:11" ht="19.350000000000001" customHeight="1">
      <c r="A14" s="46" t="s">
        <v>186</v>
      </c>
      <c r="B14" s="27">
        <v>742</v>
      </c>
      <c r="C14" s="21">
        <f t="shared" ref="C14:E17" si="16">IFERROR(B14/B$12*100,"-")</f>
        <v>8.7831439393939394</v>
      </c>
      <c r="D14" s="27">
        <v>691</v>
      </c>
      <c r="E14" s="21">
        <f t="shared" si="16"/>
        <v>8.6983887210473316</v>
      </c>
      <c r="F14" s="27">
        <v>661</v>
      </c>
      <c r="G14" s="21">
        <f t="shared" ref="G14" si="17">IFERROR(F14/F$12*100,"-")</f>
        <v>8.4429684506322644</v>
      </c>
      <c r="H14" s="44">
        <v>790</v>
      </c>
      <c r="I14" s="21">
        <f t="shared" ref="I14" si="18">IFERROR(H14/H$12*100,"-")</f>
        <v>9.0131203650884206</v>
      </c>
      <c r="J14" s="44">
        <v>726</v>
      </c>
      <c r="K14" s="21">
        <f t="shared" ref="K14" si="19">IFERROR(J14/J$12*100,"-")</f>
        <v>8.9397857406723311</v>
      </c>
    </row>
    <row r="15" spans="1:11" ht="19.350000000000001" customHeight="1">
      <c r="A15" s="46" t="s">
        <v>187</v>
      </c>
      <c r="B15" s="27">
        <v>95</v>
      </c>
      <c r="C15" s="21">
        <f t="shared" si="16"/>
        <v>1.1245265151515151</v>
      </c>
      <c r="D15" s="27">
        <v>149</v>
      </c>
      <c r="E15" s="21">
        <f t="shared" si="16"/>
        <v>1.875629405840886</v>
      </c>
      <c r="F15" s="27">
        <v>220</v>
      </c>
      <c r="G15" s="21">
        <f t="shared" ref="G15" si="20">IFERROR(F15/F$12*100,"-")</f>
        <v>2.8100651424192105</v>
      </c>
      <c r="H15" s="44">
        <v>239</v>
      </c>
      <c r="I15" s="21">
        <f t="shared" ref="I15" si="21">IFERROR(H15/H$12*100,"-")</f>
        <v>2.7267541357672562</v>
      </c>
      <c r="J15" s="44">
        <v>233</v>
      </c>
      <c r="K15" s="21">
        <f t="shared" ref="K15" si="22">IFERROR(J15/J$12*100,"-")</f>
        <v>2.8691047900504865</v>
      </c>
    </row>
    <row r="16" spans="1:11" ht="19.350000000000001" customHeight="1">
      <c r="A16" s="46" t="s">
        <v>182</v>
      </c>
      <c r="B16" s="27">
        <v>190</v>
      </c>
      <c r="C16" s="21">
        <f t="shared" si="16"/>
        <v>2.2490530303030303</v>
      </c>
      <c r="D16" s="27">
        <v>190</v>
      </c>
      <c r="E16" s="21">
        <f t="shared" si="16"/>
        <v>2.391742195367573</v>
      </c>
      <c r="F16" s="27">
        <v>163</v>
      </c>
      <c r="G16" s="21">
        <f t="shared" ref="G16" si="23">IFERROR(F16/F$12*100,"-")</f>
        <v>2.0820028100651427</v>
      </c>
      <c r="H16" s="44">
        <v>180</v>
      </c>
      <c r="I16" s="21">
        <f t="shared" ref="I16" si="24">IFERROR(H16/H$12*100,"-")</f>
        <v>2.0536223616657159</v>
      </c>
      <c r="J16" s="44">
        <v>168</v>
      </c>
      <c r="K16" s="21">
        <f t="shared" ref="K16" si="25">IFERROR(J16/J$12*100,"-")</f>
        <v>2.0687107499076469</v>
      </c>
    </row>
    <row r="17" spans="1:11" ht="19.350000000000001" customHeight="1">
      <c r="A17" s="113" t="s">
        <v>188</v>
      </c>
      <c r="B17" s="28">
        <v>31</v>
      </c>
      <c r="C17" s="22">
        <f t="shared" si="16"/>
        <v>0.36695075757575757</v>
      </c>
      <c r="D17" s="28">
        <v>27</v>
      </c>
      <c r="E17" s="22">
        <f t="shared" si="16"/>
        <v>0.33987915407854985</v>
      </c>
      <c r="F17" s="28">
        <v>28</v>
      </c>
      <c r="G17" s="22">
        <f t="shared" ref="G17" si="26">IFERROR(F17/F$12*100,"-")</f>
        <v>0.35764465448971772</v>
      </c>
      <c r="H17" s="69">
        <v>33</v>
      </c>
      <c r="I17" s="22">
        <f t="shared" ref="I17" si="27">IFERROR(H17/H$12*100,"-")</f>
        <v>0.37649743297204791</v>
      </c>
      <c r="J17" s="69">
        <v>14</v>
      </c>
      <c r="K17" s="22">
        <f t="shared" ref="K17" si="28">IFERROR(J17/J$12*100,"-")</f>
        <v>0.17239256249230389</v>
      </c>
    </row>
    <row r="18" spans="1:11">
      <c r="A18" s="35" t="s">
        <v>409</v>
      </c>
      <c r="J18" s="59"/>
      <c r="K18" s="59"/>
    </row>
    <row r="19" spans="1:11" ht="33" customHeight="1">
      <c r="A19" s="384" t="s">
        <v>624</v>
      </c>
      <c r="B19" s="385"/>
      <c r="C19" s="385"/>
      <c r="D19" s="385"/>
      <c r="E19" s="385"/>
      <c r="F19" s="385"/>
      <c r="G19" s="385"/>
      <c r="H19" s="385"/>
      <c r="I19" s="385"/>
      <c r="J19" s="385"/>
      <c r="K19" s="385"/>
    </row>
    <row r="20" spans="1:11">
      <c r="A20" s="372"/>
      <c r="B20" s="354"/>
      <c r="C20" s="354"/>
      <c r="D20" s="354"/>
      <c r="E20" s="354"/>
      <c r="I20" s="60"/>
    </row>
    <row r="21" spans="1:11">
      <c r="A21" s="372"/>
      <c r="B21" s="354"/>
      <c r="C21" s="354"/>
      <c r="D21" s="354"/>
      <c r="E21" s="354"/>
    </row>
  </sheetData>
  <mergeCells count="14">
    <mergeCell ref="A21:E21"/>
    <mergeCell ref="A20:E20"/>
    <mergeCell ref="A1:K1"/>
    <mergeCell ref="B2:C2"/>
    <mergeCell ref="D2:E2"/>
    <mergeCell ref="F2:G2"/>
    <mergeCell ref="H2:I2"/>
    <mergeCell ref="J2:K2"/>
    <mergeCell ref="A19:K19"/>
    <mergeCell ref="B10:C10"/>
    <mergeCell ref="D10:E10"/>
    <mergeCell ref="F10:G10"/>
    <mergeCell ref="H10:I10"/>
    <mergeCell ref="J10:K10"/>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80"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S25"/>
  <sheetViews>
    <sheetView showGridLines="0" showRuler="0" zoomScale="85" zoomScaleNormal="85" zoomScalePageLayoutView="125" workbookViewId="0">
      <pane xSplit="1" topLeftCell="B1" activePane="topRight" state="frozen"/>
      <selection activeCell="F17" sqref="F17"/>
      <selection pane="topRight" activeCell="F17" sqref="F17"/>
    </sheetView>
  </sheetViews>
  <sheetFormatPr defaultColWidth="9" defaultRowHeight="15.75"/>
  <cols>
    <col min="1" max="1" width="15.875" style="17" customWidth="1"/>
    <col min="2" max="3" width="9" style="17"/>
    <col min="4" max="4" width="8.875" style="17" customWidth="1"/>
    <col min="5" max="7" width="9" style="17"/>
    <col min="8" max="8" width="10" style="17" bestFit="1" customWidth="1"/>
    <col min="9" max="9" width="10.125" style="17" customWidth="1"/>
    <col min="10" max="16384" width="9" style="17"/>
  </cols>
  <sheetData>
    <row r="1" spans="1:19" ht="22.5" customHeight="1">
      <c r="A1" s="297" t="s">
        <v>853</v>
      </c>
      <c r="B1" s="297"/>
      <c r="C1" s="297"/>
      <c r="D1" s="297"/>
      <c r="E1" s="297"/>
      <c r="F1" s="297"/>
      <c r="G1" s="297"/>
      <c r="H1" s="297"/>
      <c r="I1" s="297"/>
      <c r="J1" s="297"/>
      <c r="K1" s="297"/>
      <c r="L1" s="61"/>
      <c r="M1" s="61"/>
      <c r="N1" s="61"/>
      <c r="O1" s="61"/>
      <c r="P1" s="61"/>
      <c r="Q1" s="61"/>
      <c r="R1" s="61"/>
      <c r="S1" s="61"/>
    </row>
    <row r="2" spans="1:19" ht="19.350000000000001" customHeight="1">
      <c r="A2" s="18"/>
      <c r="B2" s="302" t="s">
        <v>625</v>
      </c>
      <c r="C2" s="302"/>
      <c r="D2" s="302" t="s">
        <v>30</v>
      </c>
      <c r="E2" s="302"/>
      <c r="F2" s="302" t="s">
        <v>31</v>
      </c>
      <c r="G2" s="302"/>
      <c r="H2" s="302" t="s">
        <v>32</v>
      </c>
      <c r="I2" s="302"/>
      <c r="J2" s="302" t="s">
        <v>33</v>
      </c>
      <c r="K2" s="302"/>
    </row>
    <row r="3" spans="1:19" s="36" customFormat="1" ht="19.350000000000001" customHeight="1">
      <c r="A3" s="19"/>
      <c r="B3" s="115" t="s">
        <v>189</v>
      </c>
      <c r="C3" s="115" t="s">
        <v>176</v>
      </c>
      <c r="D3" s="115" t="s">
        <v>177</v>
      </c>
      <c r="E3" s="115" t="s">
        <v>176</v>
      </c>
      <c r="F3" s="115" t="s">
        <v>177</v>
      </c>
      <c r="G3" s="115" t="s">
        <v>176</v>
      </c>
      <c r="H3" s="115" t="s">
        <v>177</v>
      </c>
      <c r="I3" s="115" t="s">
        <v>176</v>
      </c>
      <c r="J3" s="115" t="s">
        <v>177</v>
      </c>
      <c r="K3" s="115" t="s">
        <v>176</v>
      </c>
    </row>
    <row r="4" spans="1:19" ht="19.350000000000001" customHeight="1">
      <c r="A4" s="122" t="s">
        <v>178</v>
      </c>
      <c r="B4" s="76">
        <f t="shared" ref="B4:K4" si="0">SUM(B5:B11)</f>
        <v>11383</v>
      </c>
      <c r="C4" s="20">
        <f t="shared" si="0"/>
        <v>100</v>
      </c>
      <c r="D4" s="76">
        <f t="shared" si="0"/>
        <v>10374</v>
      </c>
      <c r="E4" s="20">
        <f t="shared" si="0"/>
        <v>100</v>
      </c>
      <c r="F4" s="76">
        <f t="shared" si="0"/>
        <v>9359</v>
      </c>
      <c r="G4" s="20">
        <f t="shared" si="0"/>
        <v>99.999999999999986</v>
      </c>
      <c r="H4" s="76">
        <f t="shared" si="0"/>
        <v>8568</v>
      </c>
      <c r="I4" s="20">
        <f t="shared" si="0"/>
        <v>100</v>
      </c>
      <c r="J4" s="76">
        <f t="shared" si="0"/>
        <v>8132</v>
      </c>
      <c r="K4" s="20">
        <f t="shared" si="0"/>
        <v>100</v>
      </c>
    </row>
    <row r="5" spans="1:19" ht="19.350000000000001" customHeight="1">
      <c r="A5" s="46" t="s">
        <v>190</v>
      </c>
      <c r="B5" s="27">
        <v>4248</v>
      </c>
      <c r="C5" s="21">
        <f>IFERROR(B5/B$4*100,"-")</f>
        <v>37.318808749890188</v>
      </c>
      <c r="D5" s="27">
        <v>3984</v>
      </c>
      <c r="E5" s="21">
        <f>IFERROR(D5/D$4*100,"-")</f>
        <v>38.4037015615963</v>
      </c>
      <c r="F5" s="27">
        <v>3625</v>
      </c>
      <c r="G5" s="21">
        <f>IFERROR(F5/F$4*100,"-")</f>
        <v>38.732770595149049</v>
      </c>
      <c r="H5" s="27">
        <v>3386</v>
      </c>
      <c r="I5" s="21">
        <f>IFERROR(H5/H$4*100,"-")</f>
        <v>39.519140989729223</v>
      </c>
      <c r="J5" s="27">
        <v>3191</v>
      </c>
      <c r="K5" s="21">
        <f>IFERROR(J5/J$4*100,"-")</f>
        <v>39.240039350713232</v>
      </c>
    </row>
    <row r="6" spans="1:19" ht="19.350000000000001" customHeight="1">
      <c r="A6" s="46" t="s">
        <v>191</v>
      </c>
      <c r="B6" s="27">
        <v>4711</v>
      </c>
      <c r="C6" s="21">
        <f t="shared" ref="C6:E11" si="1">IFERROR(B6/B$4*100,"-")</f>
        <v>41.386277782658347</v>
      </c>
      <c r="D6" s="27">
        <v>4182</v>
      </c>
      <c r="E6" s="21">
        <f t="shared" si="1"/>
        <v>40.312319259687676</v>
      </c>
      <c r="F6" s="27">
        <v>3665</v>
      </c>
      <c r="G6" s="21">
        <f t="shared" ref="G6" si="2">IFERROR(F6/F$4*100,"-")</f>
        <v>39.160166684474838</v>
      </c>
      <c r="H6" s="27">
        <v>3279</v>
      </c>
      <c r="I6" s="21">
        <f t="shared" ref="I6" si="3">IFERROR(H6/H$4*100,"-")</f>
        <v>38.270308123249293</v>
      </c>
      <c r="J6" s="27">
        <v>3150</v>
      </c>
      <c r="K6" s="21">
        <f t="shared" ref="K6" si="4">IFERROR(J6/J$4*100,"-")</f>
        <v>38.735858337432369</v>
      </c>
    </row>
    <row r="7" spans="1:19" ht="19.350000000000001" customHeight="1">
      <c r="A7" s="46" t="s">
        <v>192</v>
      </c>
      <c r="B7" s="27">
        <v>795</v>
      </c>
      <c r="C7" s="21">
        <f t="shared" si="1"/>
        <v>6.984099095141878</v>
      </c>
      <c r="D7" s="27">
        <v>715</v>
      </c>
      <c r="E7" s="21">
        <f t="shared" si="1"/>
        <v>6.8922305764411025</v>
      </c>
      <c r="F7" s="27">
        <v>633</v>
      </c>
      <c r="G7" s="21">
        <f t="shared" ref="G7" si="5">IFERROR(F7/F$4*100,"-")</f>
        <v>6.7635431135805115</v>
      </c>
      <c r="H7" s="27">
        <v>537</v>
      </c>
      <c r="I7" s="21">
        <f t="shared" ref="I7" si="6">IFERROR(H7/H$4*100,"-")</f>
        <v>6.2675070028011204</v>
      </c>
      <c r="J7" s="27">
        <v>542</v>
      </c>
      <c r="K7" s="21">
        <f t="shared" ref="K7" si="7">IFERROR(J7/J$4*100,"-")</f>
        <v>6.6650270536153471</v>
      </c>
    </row>
    <row r="8" spans="1:19" ht="19.350000000000001" customHeight="1">
      <c r="A8" s="46" t="s">
        <v>193</v>
      </c>
      <c r="B8" s="27">
        <v>642</v>
      </c>
      <c r="C8" s="21">
        <f t="shared" si="1"/>
        <v>5.6399894579636296</v>
      </c>
      <c r="D8" s="27">
        <v>567</v>
      </c>
      <c r="E8" s="21">
        <f t="shared" si="1"/>
        <v>5.4655870445344128</v>
      </c>
      <c r="F8" s="27">
        <v>547</v>
      </c>
      <c r="G8" s="21">
        <f t="shared" ref="G8" si="8">IFERROR(F8/F$4*100,"-")</f>
        <v>5.844641521530078</v>
      </c>
      <c r="H8" s="27">
        <v>485</v>
      </c>
      <c r="I8" s="21">
        <f t="shared" ref="I8" si="9">IFERROR(H8/H$4*100,"-")</f>
        <v>5.6605975723622786</v>
      </c>
      <c r="J8" s="27">
        <v>459</v>
      </c>
      <c r="K8" s="21">
        <f t="shared" ref="K8" si="10">IFERROR(J8/J$4*100,"-")</f>
        <v>5.6443679291687161</v>
      </c>
    </row>
    <row r="9" spans="1:19" ht="19.350000000000001" customHeight="1">
      <c r="A9" s="46" t="s">
        <v>194</v>
      </c>
      <c r="B9" s="27">
        <v>277</v>
      </c>
      <c r="C9" s="21">
        <f t="shared" si="1"/>
        <v>2.4334533954142143</v>
      </c>
      <c r="D9" s="27">
        <v>262</v>
      </c>
      <c r="E9" s="21">
        <f t="shared" si="1"/>
        <v>2.5255446308077887</v>
      </c>
      <c r="F9" s="27">
        <v>236</v>
      </c>
      <c r="G9" s="21">
        <f t="shared" ref="G9" si="11">IFERROR(F9/F$4*100,"-")</f>
        <v>2.5216369270221177</v>
      </c>
      <c r="H9" s="27">
        <v>208</v>
      </c>
      <c r="I9" s="21">
        <f t="shared" ref="I9" si="12">IFERROR(H9/H$4*100,"-")</f>
        <v>2.4276377217553691</v>
      </c>
      <c r="J9" s="27">
        <v>173</v>
      </c>
      <c r="K9" s="21">
        <f t="shared" ref="K9" si="13">IFERROR(J9/J$4*100,"-")</f>
        <v>2.1273979340875551</v>
      </c>
    </row>
    <row r="10" spans="1:19" ht="19.350000000000001" customHeight="1">
      <c r="A10" s="46" t="s">
        <v>195</v>
      </c>
      <c r="B10" s="27">
        <v>94</v>
      </c>
      <c r="C10" s="21">
        <f t="shared" si="1"/>
        <v>0.8257928489853289</v>
      </c>
      <c r="D10" s="27">
        <v>79</v>
      </c>
      <c r="E10" s="21">
        <f t="shared" si="1"/>
        <v>0.76151918257181417</v>
      </c>
      <c r="F10" s="27">
        <v>72</v>
      </c>
      <c r="G10" s="21">
        <f t="shared" ref="G10" si="14">IFERROR(F10/F$4*100,"-")</f>
        <v>0.76931296078640876</v>
      </c>
      <c r="H10" s="27">
        <v>86</v>
      </c>
      <c r="I10" s="21">
        <f t="shared" ref="I10" si="15">IFERROR(H10/H$4*100,"-")</f>
        <v>1.003734827264239</v>
      </c>
      <c r="J10" s="27">
        <v>74</v>
      </c>
      <c r="K10" s="21">
        <f t="shared" ref="K10" si="16">IFERROR(J10/J$4*100,"-")</f>
        <v>0.90998524348253806</v>
      </c>
    </row>
    <row r="11" spans="1:19" ht="19.350000000000001" customHeight="1" thickBot="1">
      <c r="A11" s="180" t="s">
        <v>196</v>
      </c>
      <c r="B11" s="125">
        <v>616</v>
      </c>
      <c r="C11" s="37">
        <f t="shared" si="1"/>
        <v>5.4115786699464108</v>
      </c>
      <c r="D11" s="125">
        <v>585</v>
      </c>
      <c r="E11" s="37">
        <f t="shared" si="1"/>
        <v>5.6390977443609023</v>
      </c>
      <c r="F11" s="125">
        <v>581</v>
      </c>
      <c r="G11" s="37">
        <f t="shared" ref="G11" si="17">IFERROR(F11/F$4*100,"-")</f>
        <v>6.2079281974569929</v>
      </c>
      <c r="H11" s="125">
        <v>587</v>
      </c>
      <c r="I11" s="37">
        <f t="shared" ref="I11" si="18">IFERROR(H11/H$4*100,"-")</f>
        <v>6.8510737628384692</v>
      </c>
      <c r="J11" s="125">
        <v>543</v>
      </c>
      <c r="K11" s="37">
        <f t="shared" ref="K11" si="19">IFERROR(J11/J$4*100,"-")</f>
        <v>6.6773241515002457</v>
      </c>
    </row>
    <row r="12" spans="1:19" ht="19.350000000000001" customHeight="1">
      <c r="A12" s="30"/>
      <c r="B12" s="343" t="s">
        <v>34</v>
      </c>
      <c r="C12" s="343"/>
      <c r="D12" s="343" t="s">
        <v>35</v>
      </c>
      <c r="E12" s="343"/>
      <c r="F12" s="343" t="s">
        <v>36</v>
      </c>
      <c r="G12" s="343"/>
      <c r="H12" s="343" t="s">
        <v>37</v>
      </c>
      <c r="I12" s="343"/>
      <c r="J12" s="343" t="s">
        <v>567</v>
      </c>
      <c r="K12" s="343"/>
    </row>
    <row r="13" spans="1:19" s="36" customFormat="1" ht="19.350000000000001" customHeight="1">
      <c r="A13" s="19"/>
      <c r="B13" s="115" t="s">
        <v>58</v>
      </c>
      <c r="C13" s="115" t="s">
        <v>4</v>
      </c>
      <c r="D13" s="115" t="s">
        <v>58</v>
      </c>
      <c r="E13" s="115" t="s">
        <v>4</v>
      </c>
      <c r="F13" s="115" t="s">
        <v>58</v>
      </c>
      <c r="G13" s="115" t="s">
        <v>4</v>
      </c>
      <c r="H13" s="115" t="s">
        <v>175</v>
      </c>
      <c r="I13" s="115" t="s">
        <v>4</v>
      </c>
      <c r="J13" s="115" t="s">
        <v>58</v>
      </c>
      <c r="K13" s="115" t="s">
        <v>4</v>
      </c>
    </row>
    <row r="14" spans="1:19" ht="19.350000000000001" customHeight="1">
      <c r="A14" s="122" t="s">
        <v>125</v>
      </c>
      <c r="B14" s="76">
        <f>SUM(B15:B21)</f>
        <v>8448</v>
      </c>
      <c r="C14" s="20">
        <f>SUM(C15:C21)</f>
        <v>100</v>
      </c>
      <c r="D14" s="76">
        <f t="shared" ref="D14:K14" si="20">SUM(D15:D21)</f>
        <v>7944</v>
      </c>
      <c r="E14" s="20">
        <f t="shared" si="20"/>
        <v>100</v>
      </c>
      <c r="F14" s="76">
        <f t="shared" si="20"/>
        <v>7829</v>
      </c>
      <c r="G14" s="20">
        <f t="shared" si="20"/>
        <v>99.999999999999986</v>
      </c>
      <c r="H14" s="76">
        <f t="shared" si="20"/>
        <v>8765</v>
      </c>
      <c r="I14" s="20">
        <f t="shared" si="20"/>
        <v>100.00000000000001</v>
      </c>
      <c r="J14" s="76">
        <f t="shared" si="20"/>
        <v>8121</v>
      </c>
      <c r="K14" s="20">
        <f t="shared" si="20"/>
        <v>100</v>
      </c>
    </row>
    <row r="15" spans="1:19" ht="19.350000000000001" customHeight="1">
      <c r="A15" s="46" t="s">
        <v>190</v>
      </c>
      <c r="B15" s="27">
        <v>3547</v>
      </c>
      <c r="C15" s="21">
        <f>IFERROR(B15/B$14*100,"-")</f>
        <v>41.986268939393938</v>
      </c>
      <c r="D15" s="27">
        <v>3282</v>
      </c>
      <c r="E15" s="21">
        <f>IFERROR(D15/D$14*100,"-")</f>
        <v>41.314199395770387</v>
      </c>
      <c r="F15" s="27">
        <v>3136</v>
      </c>
      <c r="G15" s="21">
        <f>IFERROR(F15/F$14*100,"-")</f>
        <v>40.056201302848379</v>
      </c>
      <c r="H15" s="44">
        <v>3618</v>
      </c>
      <c r="I15" s="21">
        <f>IFERROR(H15/H$14*100,"-")</f>
        <v>41.277809469480893</v>
      </c>
      <c r="J15" s="44">
        <v>3249</v>
      </c>
      <c r="K15" s="21">
        <f>IFERROR(J15/J$14*100,"-")</f>
        <v>40.007388252678247</v>
      </c>
    </row>
    <row r="16" spans="1:19" ht="19.350000000000001" customHeight="1">
      <c r="A16" s="46" t="s">
        <v>191</v>
      </c>
      <c r="B16" s="27">
        <v>3072</v>
      </c>
      <c r="C16" s="21">
        <f t="shared" ref="C16:E21" si="21">IFERROR(B16/B$14*100,"-")</f>
        <v>36.363636363636367</v>
      </c>
      <c r="D16" s="27">
        <v>2863</v>
      </c>
      <c r="E16" s="21">
        <f t="shared" si="21"/>
        <v>36.039778449144002</v>
      </c>
      <c r="F16" s="27">
        <v>2945</v>
      </c>
      <c r="G16" s="21">
        <f t="shared" ref="G16" si="22">IFERROR(F16/F$14*100,"-")</f>
        <v>37.616553838293527</v>
      </c>
      <c r="H16" s="44">
        <v>3198</v>
      </c>
      <c r="I16" s="21">
        <f t="shared" ref="I16" si="23">IFERROR(H16/H$14*100,"-")</f>
        <v>36.486023958927554</v>
      </c>
      <c r="J16" s="44">
        <v>3097</v>
      </c>
      <c r="K16" s="21">
        <f t="shared" ref="K16" si="24">IFERROR(J16/J$14*100,"-")</f>
        <v>38.135697574190367</v>
      </c>
    </row>
    <row r="17" spans="1:11" ht="19.350000000000001" customHeight="1">
      <c r="A17" s="46" t="s">
        <v>198</v>
      </c>
      <c r="B17" s="27">
        <v>552</v>
      </c>
      <c r="C17" s="21">
        <f t="shared" si="21"/>
        <v>6.5340909090909092</v>
      </c>
      <c r="D17" s="27">
        <v>521</v>
      </c>
      <c r="E17" s="21">
        <f t="shared" si="21"/>
        <v>6.5584088620342404</v>
      </c>
      <c r="F17" s="27">
        <v>478</v>
      </c>
      <c r="G17" s="21">
        <f t="shared" ref="G17" si="25">IFERROR(F17/F$14*100,"-")</f>
        <v>6.1055051730744667</v>
      </c>
      <c r="H17" s="44">
        <v>543</v>
      </c>
      <c r="I17" s="21">
        <f t="shared" ref="I17" si="26">IFERROR(H17/H$14*100,"-")</f>
        <v>6.1950941243582429</v>
      </c>
      <c r="J17" s="44">
        <v>505</v>
      </c>
      <c r="K17" s="21">
        <f t="shared" ref="K17" si="27">IFERROR(J17/J$14*100,"-")</f>
        <v>6.218446004186676</v>
      </c>
    </row>
    <row r="18" spans="1:11" ht="19.350000000000001" customHeight="1">
      <c r="A18" s="46" t="s">
        <v>197</v>
      </c>
      <c r="B18" s="27">
        <v>458</v>
      </c>
      <c r="C18" s="21">
        <f t="shared" si="21"/>
        <v>5.4214015151515156</v>
      </c>
      <c r="D18" s="27">
        <v>515</v>
      </c>
      <c r="E18" s="21">
        <f t="shared" si="21"/>
        <v>6.4828801611278948</v>
      </c>
      <c r="F18" s="27">
        <v>457</v>
      </c>
      <c r="G18" s="21">
        <f t="shared" ref="G18" si="28">IFERROR(F18/F$14*100,"-")</f>
        <v>5.8372716822071782</v>
      </c>
      <c r="H18" s="44">
        <v>586</v>
      </c>
      <c r="I18" s="21">
        <f t="shared" ref="I18" si="29">IFERROR(H18/H$14*100,"-")</f>
        <v>6.6856816885339416</v>
      </c>
      <c r="J18" s="44">
        <v>452</v>
      </c>
      <c r="K18" s="21">
        <f t="shared" ref="K18" si="30">IFERROR(J18/J$14*100,"-")</f>
        <v>5.5658170176086683</v>
      </c>
    </row>
    <row r="19" spans="1:11" ht="19.350000000000001" customHeight="1">
      <c r="A19" s="46" t="s">
        <v>194</v>
      </c>
      <c r="B19" s="27">
        <v>178</v>
      </c>
      <c r="C19" s="21">
        <f t="shared" si="21"/>
        <v>2.1070075757575757</v>
      </c>
      <c r="D19" s="27">
        <v>175</v>
      </c>
      <c r="E19" s="21">
        <f t="shared" si="21"/>
        <v>2.202920443101712</v>
      </c>
      <c r="F19" s="27">
        <v>158</v>
      </c>
      <c r="G19" s="21">
        <f t="shared" ref="G19" si="31">IFERROR(F19/F$14*100,"-")</f>
        <v>2.0181376931919783</v>
      </c>
      <c r="H19" s="44">
        <v>131</v>
      </c>
      <c r="I19" s="21">
        <f t="shared" ref="I19" si="32">IFERROR(H19/H$14*100,"-")</f>
        <v>1.4945807187678266</v>
      </c>
      <c r="J19" s="44">
        <v>146</v>
      </c>
      <c r="K19" s="21">
        <f t="shared" ref="K19" si="33">IFERROR(J19/J$14*100,"-")</f>
        <v>1.7978081517054549</v>
      </c>
    </row>
    <row r="20" spans="1:11" ht="19.350000000000001" customHeight="1">
      <c r="A20" s="46" t="s">
        <v>199</v>
      </c>
      <c r="B20" s="27">
        <v>53</v>
      </c>
      <c r="C20" s="21">
        <f t="shared" si="21"/>
        <v>0.6273674242424242</v>
      </c>
      <c r="D20" s="27">
        <v>35</v>
      </c>
      <c r="E20" s="21">
        <f t="shared" si="21"/>
        <v>0.44058408862034243</v>
      </c>
      <c r="F20" s="27">
        <v>69</v>
      </c>
      <c r="G20" s="21">
        <f t="shared" ref="G20" si="34">IFERROR(F20/F$14*100,"-")</f>
        <v>0.88133861284966153</v>
      </c>
      <c r="H20" s="44">
        <v>68</v>
      </c>
      <c r="I20" s="21">
        <f t="shared" ref="I20" si="35">IFERROR(H20/H$14*100,"-")</f>
        <v>0.77581289218482608</v>
      </c>
      <c r="J20" s="44">
        <v>73</v>
      </c>
      <c r="K20" s="21">
        <f t="shared" ref="K20" si="36">IFERROR(J20/J$14*100,"-")</f>
        <v>0.89890407585272747</v>
      </c>
    </row>
    <row r="21" spans="1:11" ht="19.350000000000001" customHeight="1">
      <c r="A21" s="113" t="s">
        <v>200</v>
      </c>
      <c r="B21" s="28">
        <v>588</v>
      </c>
      <c r="C21" s="22">
        <f t="shared" si="21"/>
        <v>6.9602272727272725</v>
      </c>
      <c r="D21" s="28">
        <v>553</v>
      </c>
      <c r="E21" s="22">
        <f t="shared" si="21"/>
        <v>6.9612286002014097</v>
      </c>
      <c r="F21" s="28">
        <v>586</v>
      </c>
      <c r="G21" s="22">
        <f t="shared" ref="G21" si="37">IFERROR(F21/F$14*100,"-")</f>
        <v>7.4849916975348068</v>
      </c>
      <c r="H21" s="69">
        <v>621</v>
      </c>
      <c r="I21" s="22">
        <f t="shared" ref="I21" si="38">IFERROR(H21/H$14*100,"-")</f>
        <v>7.0849971477467202</v>
      </c>
      <c r="J21" s="69">
        <v>599</v>
      </c>
      <c r="K21" s="22">
        <f t="shared" ref="K21" si="39">IFERROR(J21/J$14*100,"-")</f>
        <v>7.3759389237778601</v>
      </c>
    </row>
    <row r="22" spans="1:11">
      <c r="A22" s="35" t="s">
        <v>410</v>
      </c>
      <c r="J22" s="59"/>
      <c r="K22" s="59"/>
    </row>
    <row r="23" spans="1:11" ht="33.75" customHeight="1">
      <c r="A23" s="386" t="s">
        <v>577</v>
      </c>
      <c r="B23" s="382"/>
      <c r="C23" s="382"/>
      <c r="D23" s="382"/>
      <c r="E23" s="382"/>
      <c r="F23" s="382"/>
      <c r="G23" s="382"/>
      <c r="H23" s="382"/>
      <c r="I23" s="382"/>
      <c r="J23" s="382"/>
      <c r="K23" s="382"/>
    </row>
    <row r="24" spans="1:11">
      <c r="A24" s="372"/>
      <c r="B24" s="354"/>
      <c r="C24" s="354"/>
      <c r="D24" s="354"/>
      <c r="E24" s="354"/>
      <c r="I24" s="60"/>
    </row>
    <row r="25" spans="1:11">
      <c r="A25" s="372"/>
      <c r="B25" s="354"/>
      <c r="C25" s="354"/>
      <c r="D25" s="354"/>
      <c r="E25" s="354"/>
    </row>
  </sheetData>
  <sortState ref="A5:U10">
    <sortCondition descending="1" ref="T5:T10"/>
  </sortState>
  <mergeCells count="14">
    <mergeCell ref="A25:E25"/>
    <mergeCell ref="A24:E24"/>
    <mergeCell ref="A1:K1"/>
    <mergeCell ref="B2:C2"/>
    <mergeCell ref="D2:E2"/>
    <mergeCell ref="F2:G2"/>
    <mergeCell ref="H2:I2"/>
    <mergeCell ref="J2:K2"/>
    <mergeCell ref="A23:K23"/>
    <mergeCell ref="B12:C12"/>
    <mergeCell ref="D12:E12"/>
    <mergeCell ref="F12:G12"/>
    <mergeCell ref="H12:I12"/>
    <mergeCell ref="J12:K1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3"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32"/>
  <sheetViews>
    <sheetView showGridLines="0" showRuler="0" zoomScale="70" zoomScaleNormal="70" zoomScalePageLayoutView="125" workbookViewId="0">
      <pane xSplit="1" ySplit="3" topLeftCell="B4" activePane="bottomRight" state="frozen"/>
      <selection activeCell="F17" sqref="F17"/>
      <selection pane="topRight" activeCell="F17" sqref="F17"/>
      <selection pane="bottomLeft" activeCell="F17" sqref="F17"/>
      <selection pane="bottomRight" activeCell="X22" sqref="X22"/>
    </sheetView>
  </sheetViews>
  <sheetFormatPr defaultColWidth="9" defaultRowHeight="20.100000000000001" customHeight="1"/>
  <cols>
    <col min="1" max="1" width="22.125" style="1" customWidth="1"/>
    <col min="2" max="21" width="8.625" style="1" customWidth="1"/>
    <col min="22" max="16384" width="9" style="1"/>
  </cols>
  <sheetData>
    <row r="1" spans="1:21" ht="21.75" customHeight="1">
      <c r="A1" s="297" t="s">
        <v>499</v>
      </c>
      <c r="B1" s="297"/>
      <c r="C1" s="297"/>
      <c r="D1" s="297"/>
      <c r="E1" s="297"/>
      <c r="F1" s="297"/>
      <c r="G1" s="297"/>
      <c r="H1" s="297"/>
      <c r="I1" s="297"/>
      <c r="J1" s="297"/>
      <c r="K1" s="297"/>
      <c r="L1" s="297"/>
      <c r="M1" s="297"/>
      <c r="N1" s="297"/>
      <c r="O1" s="297"/>
      <c r="P1" s="297"/>
      <c r="Q1" s="297"/>
      <c r="R1" s="297"/>
      <c r="S1" s="297"/>
      <c r="T1" s="297"/>
      <c r="U1" s="297"/>
    </row>
    <row r="2" spans="1:21" ht="15.75" customHeight="1">
      <c r="A2" s="268"/>
      <c r="B2" s="379" t="s">
        <v>895</v>
      </c>
      <c r="C2" s="379"/>
      <c r="D2" s="379" t="s">
        <v>201</v>
      </c>
      <c r="E2" s="379"/>
      <c r="F2" s="379" t="s">
        <v>202</v>
      </c>
      <c r="G2" s="379"/>
      <c r="H2" s="379" t="s">
        <v>203</v>
      </c>
      <c r="I2" s="379"/>
      <c r="J2" s="379" t="s">
        <v>204</v>
      </c>
      <c r="K2" s="379"/>
      <c r="L2" s="379" t="s">
        <v>205</v>
      </c>
      <c r="M2" s="379"/>
      <c r="N2" s="379" t="s">
        <v>206</v>
      </c>
      <c r="O2" s="379"/>
      <c r="P2" s="379" t="s">
        <v>207</v>
      </c>
      <c r="Q2" s="379"/>
      <c r="R2" s="379" t="s">
        <v>208</v>
      </c>
      <c r="S2" s="379"/>
      <c r="T2" s="379" t="s">
        <v>626</v>
      </c>
      <c r="U2" s="379"/>
    </row>
    <row r="3" spans="1:21" ht="20.100000000000001" customHeight="1">
      <c r="A3" s="269"/>
      <c r="B3" s="270" t="s">
        <v>896</v>
      </c>
      <c r="C3" s="270" t="s">
        <v>897</v>
      </c>
      <c r="D3" s="270" t="s">
        <v>896</v>
      </c>
      <c r="E3" s="270" t="s">
        <v>897</v>
      </c>
      <c r="F3" s="270" t="s">
        <v>896</v>
      </c>
      <c r="G3" s="270" t="s">
        <v>4</v>
      </c>
      <c r="H3" s="270" t="s">
        <v>896</v>
      </c>
      <c r="I3" s="270" t="s">
        <v>4</v>
      </c>
      <c r="J3" s="270" t="s">
        <v>898</v>
      </c>
      <c r="K3" s="270" t="s">
        <v>4</v>
      </c>
      <c r="L3" s="270" t="s">
        <v>896</v>
      </c>
      <c r="M3" s="270" t="s">
        <v>4</v>
      </c>
      <c r="N3" s="270" t="s">
        <v>899</v>
      </c>
      <c r="O3" s="270" t="s">
        <v>900</v>
      </c>
      <c r="P3" s="270" t="s">
        <v>901</v>
      </c>
      <c r="Q3" s="270" t="s">
        <v>900</v>
      </c>
      <c r="R3" s="270" t="s">
        <v>898</v>
      </c>
      <c r="S3" s="270" t="s">
        <v>902</v>
      </c>
      <c r="T3" s="270" t="s">
        <v>896</v>
      </c>
      <c r="U3" s="270" t="s">
        <v>4</v>
      </c>
    </row>
    <row r="4" spans="1:21" ht="20.100000000000001" customHeight="1">
      <c r="A4" s="73" t="s">
        <v>903</v>
      </c>
      <c r="B4" s="4">
        <f t="shared" ref="B4:U4" si="0">SUM(B7:B31)</f>
        <v>378</v>
      </c>
      <c r="C4" s="6">
        <f t="shared" si="0"/>
        <v>100</v>
      </c>
      <c r="D4" s="4">
        <f t="shared" si="0"/>
        <v>388</v>
      </c>
      <c r="E4" s="6">
        <f t="shared" si="0"/>
        <v>100.00000000000001</v>
      </c>
      <c r="F4" s="4">
        <f t="shared" si="0"/>
        <v>409</v>
      </c>
      <c r="G4" s="6">
        <f t="shared" si="0"/>
        <v>99.999999999999957</v>
      </c>
      <c r="H4" s="4">
        <f t="shared" si="0"/>
        <v>279</v>
      </c>
      <c r="I4" s="6">
        <f t="shared" si="0"/>
        <v>100</v>
      </c>
      <c r="J4" s="4">
        <f t="shared" si="0"/>
        <v>261</v>
      </c>
      <c r="K4" s="6">
        <f t="shared" si="0"/>
        <v>99.999999999999986</v>
      </c>
      <c r="L4" s="4">
        <f t="shared" si="0"/>
        <v>293</v>
      </c>
      <c r="M4" s="6">
        <f t="shared" si="0"/>
        <v>100.00000000000001</v>
      </c>
      <c r="N4" s="4">
        <f t="shared" si="0"/>
        <v>325</v>
      </c>
      <c r="O4" s="6">
        <f t="shared" si="0"/>
        <v>100</v>
      </c>
      <c r="P4" s="4">
        <f t="shared" si="0"/>
        <v>236</v>
      </c>
      <c r="Q4" s="6">
        <f t="shared" si="0"/>
        <v>99.999999999999986</v>
      </c>
      <c r="R4" s="4">
        <f t="shared" si="0"/>
        <v>301</v>
      </c>
      <c r="S4" s="6">
        <f t="shared" si="0"/>
        <v>100.00000000000001</v>
      </c>
      <c r="T4" s="71">
        <f t="shared" si="0"/>
        <v>350</v>
      </c>
      <c r="U4" s="72">
        <f t="shared" si="0"/>
        <v>100</v>
      </c>
    </row>
    <row r="5" spans="1:21" ht="20.100000000000001" customHeight="1">
      <c r="A5" s="130" t="s">
        <v>904</v>
      </c>
      <c r="B5" s="4">
        <v>347</v>
      </c>
      <c r="C5" s="6">
        <f>IFERROR(B5/B$4*100,"-")</f>
        <v>91.798941798941797</v>
      </c>
      <c r="D5" s="4">
        <v>348</v>
      </c>
      <c r="E5" s="6">
        <f>IFERROR(D5/D$4*100,"-")</f>
        <v>89.690721649484544</v>
      </c>
      <c r="F5" s="4">
        <v>376</v>
      </c>
      <c r="G5" s="6">
        <f>IFERROR(F5/F$4*100,"-")</f>
        <v>91.931540342298291</v>
      </c>
      <c r="H5" s="4">
        <v>261</v>
      </c>
      <c r="I5" s="6">
        <f>IFERROR(H5/H$4*100,"-")</f>
        <v>93.548387096774192</v>
      </c>
      <c r="J5" s="4">
        <v>244</v>
      </c>
      <c r="K5" s="6">
        <f>IFERROR(J5/J$4*100,"-")</f>
        <v>93.486590038314176</v>
      </c>
      <c r="L5" s="4">
        <v>270</v>
      </c>
      <c r="M5" s="6">
        <f>IFERROR(L5/L$4*100,"-")</f>
        <v>92.150170648464169</v>
      </c>
      <c r="N5" s="4">
        <v>300</v>
      </c>
      <c r="O5" s="6">
        <f>IFERROR(N5/N$4*100,"-")</f>
        <v>92.307692307692307</v>
      </c>
      <c r="P5" s="4">
        <v>210</v>
      </c>
      <c r="Q5" s="6">
        <f>IFERROR(P5/P$4*100,"-")</f>
        <v>88.983050847457619</v>
      </c>
      <c r="R5" s="4">
        <v>284</v>
      </c>
      <c r="S5" s="6">
        <f>IFERROR(R5/R$4*100,"-")</f>
        <v>94.352159468438529</v>
      </c>
      <c r="T5" s="4">
        <v>325</v>
      </c>
      <c r="U5" s="6">
        <f>IFERROR(T5/T$4*100,"-")</f>
        <v>92.857142857142861</v>
      </c>
    </row>
    <row r="6" spans="1:21" ht="20.100000000000001" customHeight="1">
      <c r="A6" s="154" t="s">
        <v>905</v>
      </c>
      <c r="B6" s="9">
        <v>31</v>
      </c>
      <c r="C6" s="11">
        <f t="shared" ref="C6:E31" si="1">IFERROR(B6/B$4*100,"-")</f>
        <v>8.2010582010582009</v>
      </c>
      <c r="D6" s="9">
        <v>40</v>
      </c>
      <c r="E6" s="11">
        <f t="shared" si="1"/>
        <v>10.309278350515463</v>
      </c>
      <c r="F6" s="9">
        <v>33</v>
      </c>
      <c r="G6" s="11">
        <f t="shared" ref="G6:G31" si="2">IFERROR(F6/F$4*100,"-")</f>
        <v>8.0684596577017107</v>
      </c>
      <c r="H6" s="9">
        <v>18</v>
      </c>
      <c r="I6" s="11">
        <f t="shared" ref="I6:I31" si="3">IFERROR(H6/H$4*100,"-")</f>
        <v>6.4516129032258061</v>
      </c>
      <c r="J6" s="9">
        <v>17</v>
      </c>
      <c r="K6" s="11">
        <f t="shared" ref="K6:K31" si="4">IFERROR(J6/J$4*100,"-")</f>
        <v>6.5134099616858236</v>
      </c>
      <c r="L6" s="9">
        <v>23</v>
      </c>
      <c r="M6" s="11">
        <f t="shared" ref="M6:M31" si="5">IFERROR(L6/L$4*100,"-")</f>
        <v>7.8498293515358366</v>
      </c>
      <c r="N6" s="9">
        <v>25</v>
      </c>
      <c r="O6" s="11">
        <f t="shared" ref="O6:O31" si="6">IFERROR(N6/N$4*100,"-")</f>
        <v>7.6923076923076925</v>
      </c>
      <c r="P6" s="9">
        <v>26</v>
      </c>
      <c r="Q6" s="11">
        <f t="shared" ref="Q6:Q31" si="7">IFERROR(P6/P$4*100,"-")</f>
        <v>11.016949152542372</v>
      </c>
      <c r="R6" s="9">
        <v>17</v>
      </c>
      <c r="S6" s="11">
        <f t="shared" ref="S6:S31" si="8">IFERROR(R6/R$4*100,"-")</f>
        <v>5.6478405315614619</v>
      </c>
      <c r="T6" s="9">
        <v>25</v>
      </c>
      <c r="U6" s="11">
        <f t="shared" ref="U6:U31" si="9">IFERROR(T6/T$4*100,"-")</f>
        <v>7.1428571428571423</v>
      </c>
    </row>
    <row r="7" spans="1:21" s="53" customFormat="1" ht="24.95" customHeight="1">
      <c r="A7" s="182" t="s">
        <v>906</v>
      </c>
      <c r="B7" s="155">
        <v>221</v>
      </c>
      <c r="C7" s="6">
        <f t="shared" si="1"/>
        <v>58.465608465608469</v>
      </c>
      <c r="D7" s="155">
        <v>220</v>
      </c>
      <c r="E7" s="6">
        <f t="shared" si="1"/>
        <v>56.701030927835049</v>
      </c>
      <c r="F7" s="155">
        <v>225</v>
      </c>
      <c r="G7" s="6">
        <f t="shared" si="2"/>
        <v>55.012224938875306</v>
      </c>
      <c r="H7" s="155">
        <v>129</v>
      </c>
      <c r="I7" s="6">
        <f t="shared" si="3"/>
        <v>46.236559139784944</v>
      </c>
      <c r="J7" s="155">
        <v>152</v>
      </c>
      <c r="K7" s="6">
        <f t="shared" si="4"/>
        <v>58.237547892720308</v>
      </c>
      <c r="L7" s="155">
        <v>139</v>
      </c>
      <c r="M7" s="6">
        <f t="shared" si="5"/>
        <v>47.44027303754266</v>
      </c>
      <c r="N7" s="155">
        <v>182</v>
      </c>
      <c r="O7" s="6">
        <f t="shared" si="6"/>
        <v>56.000000000000007</v>
      </c>
      <c r="P7" s="155">
        <v>148</v>
      </c>
      <c r="Q7" s="6">
        <f t="shared" si="7"/>
        <v>62.711864406779661</v>
      </c>
      <c r="R7" s="4">
        <v>161</v>
      </c>
      <c r="S7" s="6">
        <f t="shared" si="8"/>
        <v>53.488372093023251</v>
      </c>
      <c r="T7" s="184">
        <v>211</v>
      </c>
      <c r="U7" s="6">
        <f t="shared" si="9"/>
        <v>60.285714285714285</v>
      </c>
    </row>
    <row r="8" spans="1:21" ht="24.95" customHeight="1">
      <c r="A8" s="182" t="s">
        <v>907</v>
      </c>
      <c r="B8" s="4">
        <v>64</v>
      </c>
      <c r="C8" s="6">
        <f t="shared" si="1"/>
        <v>16.93121693121693</v>
      </c>
      <c r="D8" s="4">
        <v>50</v>
      </c>
      <c r="E8" s="6">
        <f t="shared" si="1"/>
        <v>12.886597938144329</v>
      </c>
      <c r="F8" s="4">
        <v>68</v>
      </c>
      <c r="G8" s="6">
        <f t="shared" si="2"/>
        <v>16.625916870415647</v>
      </c>
      <c r="H8" s="4">
        <v>45</v>
      </c>
      <c r="I8" s="6">
        <f t="shared" si="3"/>
        <v>16.129032258064516</v>
      </c>
      <c r="J8" s="4">
        <v>38</v>
      </c>
      <c r="K8" s="6">
        <f t="shared" si="4"/>
        <v>14.559386973180077</v>
      </c>
      <c r="L8" s="4">
        <v>43</v>
      </c>
      <c r="M8" s="6">
        <f t="shared" si="5"/>
        <v>14.675767918088736</v>
      </c>
      <c r="N8" s="4">
        <v>37</v>
      </c>
      <c r="O8" s="6">
        <f t="shared" si="6"/>
        <v>11.384615384615385</v>
      </c>
      <c r="P8" s="4">
        <v>25</v>
      </c>
      <c r="Q8" s="6">
        <f t="shared" si="7"/>
        <v>10.59322033898305</v>
      </c>
      <c r="R8" s="4">
        <v>39</v>
      </c>
      <c r="S8" s="6">
        <f t="shared" si="8"/>
        <v>12.956810631229235</v>
      </c>
      <c r="T8" s="184">
        <v>42</v>
      </c>
      <c r="U8" s="6">
        <f t="shared" si="9"/>
        <v>12</v>
      </c>
    </row>
    <row r="9" spans="1:21" ht="24.95" customHeight="1">
      <c r="A9" s="182" t="s">
        <v>908</v>
      </c>
      <c r="B9" s="4" t="s">
        <v>9</v>
      </c>
      <c r="C9" s="6" t="str">
        <f t="shared" si="1"/>
        <v>-</v>
      </c>
      <c r="D9" s="4" t="s">
        <v>9</v>
      </c>
      <c r="E9" s="6" t="str">
        <f t="shared" si="1"/>
        <v>-</v>
      </c>
      <c r="F9" s="4">
        <v>2</v>
      </c>
      <c r="G9" s="6">
        <f t="shared" si="2"/>
        <v>0.48899755501222492</v>
      </c>
      <c r="H9" s="4">
        <v>1</v>
      </c>
      <c r="I9" s="6">
        <f t="shared" si="3"/>
        <v>0.35842293906810035</v>
      </c>
      <c r="J9" s="4" t="s">
        <v>9</v>
      </c>
      <c r="K9" s="6" t="str">
        <f t="shared" si="4"/>
        <v>-</v>
      </c>
      <c r="L9" s="4">
        <v>1</v>
      </c>
      <c r="M9" s="6">
        <f t="shared" si="5"/>
        <v>0.34129692832764508</v>
      </c>
      <c r="N9" s="4">
        <v>7</v>
      </c>
      <c r="O9" s="6">
        <f t="shared" si="6"/>
        <v>2.1538461538461537</v>
      </c>
      <c r="P9" s="4">
        <v>5</v>
      </c>
      <c r="Q9" s="6">
        <f t="shared" si="7"/>
        <v>2.1186440677966099</v>
      </c>
      <c r="R9" s="4">
        <v>9</v>
      </c>
      <c r="S9" s="6">
        <f t="shared" si="8"/>
        <v>2.9900332225913622</v>
      </c>
      <c r="T9" s="184">
        <v>22</v>
      </c>
      <c r="U9" s="6">
        <f t="shared" si="9"/>
        <v>6.2857142857142865</v>
      </c>
    </row>
    <row r="10" spans="1:21" ht="24.95" customHeight="1">
      <c r="A10" s="182" t="s">
        <v>628</v>
      </c>
      <c r="B10" s="4">
        <v>36</v>
      </c>
      <c r="C10" s="6">
        <f t="shared" si="1"/>
        <v>9.5238095238095237</v>
      </c>
      <c r="D10" s="4">
        <v>47</v>
      </c>
      <c r="E10" s="6">
        <f t="shared" si="1"/>
        <v>12.11340206185567</v>
      </c>
      <c r="F10" s="4">
        <v>47</v>
      </c>
      <c r="G10" s="6">
        <f t="shared" si="2"/>
        <v>11.491442542787286</v>
      </c>
      <c r="H10" s="4">
        <v>36</v>
      </c>
      <c r="I10" s="6">
        <f t="shared" si="3"/>
        <v>12.903225806451612</v>
      </c>
      <c r="J10" s="4">
        <v>16</v>
      </c>
      <c r="K10" s="6">
        <f t="shared" si="4"/>
        <v>6.1302681992337158</v>
      </c>
      <c r="L10" s="4">
        <v>30</v>
      </c>
      <c r="M10" s="6">
        <f t="shared" si="5"/>
        <v>10.238907849829351</v>
      </c>
      <c r="N10" s="4">
        <v>18</v>
      </c>
      <c r="O10" s="6">
        <f t="shared" si="6"/>
        <v>5.5384615384615383</v>
      </c>
      <c r="P10" s="4">
        <v>5</v>
      </c>
      <c r="Q10" s="6">
        <f t="shared" si="7"/>
        <v>2.1186440677966099</v>
      </c>
      <c r="R10" s="4">
        <v>21</v>
      </c>
      <c r="S10" s="6">
        <f t="shared" si="8"/>
        <v>6.9767441860465116</v>
      </c>
      <c r="T10" s="184">
        <v>14</v>
      </c>
      <c r="U10" s="6">
        <f t="shared" si="9"/>
        <v>4</v>
      </c>
    </row>
    <row r="11" spans="1:21" ht="24.95" customHeight="1">
      <c r="A11" s="182" t="s">
        <v>629</v>
      </c>
      <c r="B11" s="4">
        <v>21</v>
      </c>
      <c r="C11" s="6">
        <f t="shared" si="1"/>
        <v>5.5555555555555554</v>
      </c>
      <c r="D11" s="4">
        <v>22</v>
      </c>
      <c r="E11" s="6">
        <f t="shared" si="1"/>
        <v>5.6701030927835054</v>
      </c>
      <c r="F11" s="4">
        <v>23</v>
      </c>
      <c r="G11" s="6">
        <f t="shared" si="2"/>
        <v>5.6234718826405867</v>
      </c>
      <c r="H11" s="4">
        <v>37</v>
      </c>
      <c r="I11" s="6">
        <f t="shared" si="3"/>
        <v>13.261648745519713</v>
      </c>
      <c r="J11" s="4">
        <v>14</v>
      </c>
      <c r="K11" s="6">
        <f t="shared" si="4"/>
        <v>5.3639846743295019</v>
      </c>
      <c r="L11" s="4">
        <v>15</v>
      </c>
      <c r="M11" s="6">
        <f t="shared" si="5"/>
        <v>5.1194539249146755</v>
      </c>
      <c r="N11" s="4">
        <v>18</v>
      </c>
      <c r="O11" s="6">
        <f t="shared" si="6"/>
        <v>5.5384615384615383</v>
      </c>
      <c r="P11" s="4">
        <v>13</v>
      </c>
      <c r="Q11" s="6">
        <f t="shared" si="7"/>
        <v>5.508474576271186</v>
      </c>
      <c r="R11" s="4">
        <v>18</v>
      </c>
      <c r="S11" s="6">
        <f t="shared" si="8"/>
        <v>5.9800664451827243</v>
      </c>
      <c r="T11" s="184">
        <v>14</v>
      </c>
      <c r="U11" s="6">
        <f t="shared" si="9"/>
        <v>4</v>
      </c>
    </row>
    <row r="12" spans="1:21" ht="24.95" customHeight="1">
      <c r="A12" s="182" t="s">
        <v>909</v>
      </c>
      <c r="B12" s="4">
        <v>17</v>
      </c>
      <c r="C12" s="6">
        <f t="shared" si="1"/>
        <v>4.4973544973544968</v>
      </c>
      <c r="D12" s="4">
        <v>23</v>
      </c>
      <c r="E12" s="6">
        <f t="shared" si="1"/>
        <v>5.9278350515463911</v>
      </c>
      <c r="F12" s="4">
        <v>19</v>
      </c>
      <c r="G12" s="6">
        <f t="shared" si="2"/>
        <v>4.6454767726161368</v>
      </c>
      <c r="H12" s="4">
        <v>12</v>
      </c>
      <c r="I12" s="6">
        <f t="shared" si="3"/>
        <v>4.3010752688172049</v>
      </c>
      <c r="J12" s="4">
        <v>12</v>
      </c>
      <c r="K12" s="6">
        <f t="shared" si="4"/>
        <v>4.5977011494252871</v>
      </c>
      <c r="L12" s="4">
        <v>21</v>
      </c>
      <c r="M12" s="6">
        <f t="shared" si="5"/>
        <v>7.1672354948805461</v>
      </c>
      <c r="N12" s="4">
        <v>13</v>
      </c>
      <c r="O12" s="6">
        <f t="shared" si="6"/>
        <v>4</v>
      </c>
      <c r="P12" s="4">
        <v>6</v>
      </c>
      <c r="Q12" s="6">
        <f t="shared" si="7"/>
        <v>2.5423728813559325</v>
      </c>
      <c r="R12" s="4">
        <v>5</v>
      </c>
      <c r="S12" s="6">
        <f t="shared" si="8"/>
        <v>1.6611295681063125</v>
      </c>
      <c r="T12" s="184">
        <v>13</v>
      </c>
      <c r="U12" s="6">
        <f t="shared" si="9"/>
        <v>3.7142857142857144</v>
      </c>
    </row>
    <row r="13" spans="1:21" ht="24.95" customHeight="1">
      <c r="A13" s="182" t="s">
        <v>630</v>
      </c>
      <c r="B13" s="4">
        <v>3</v>
      </c>
      <c r="C13" s="6">
        <f t="shared" si="1"/>
        <v>0.79365079365079361</v>
      </c>
      <c r="D13" s="4">
        <v>3</v>
      </c>
      <c r="E13" s="6">
        <f t="shared" si="1"/>
        <v>0.77319587628865982</v>
      </c>
      <c r="F13" s="4">
        <v>3</v>
      </c>
      <c r="G13" s="6">
        <f t="shared" si="2"/>
        <v>0.73349633251833746</v>
      </c>
      <c r="H13" s="4">
        <v>2</v>
      </c>
      <c r="I13" s="6">
        <f t="shared" si="3"/>
        <v>0.71684587813620071</v>
      </c>
      <c r="J13" s="4">
        <v>3</v>
      </c>
      <c r="K13" s="6">
        <f t="shared" si="4"/>
        <v>1.1494252873563218</v>
      </c>
      <c r="L13" s="4">
        <v>7</v>
      </c>
      <c r="M13" s="6">
        <f t="shared" si="5"/>
        <v>2.3890784982935154</v>
      </c>
      <c r="N13" s="4">
        <v>8</v>
      </c>
      <c r="O13" s="6">
        <f t="shared" si="6"/>
        <v>2.4615384615384617</v>
      </c>
      <c r="P13" s="4">
        <v>7</v>
      </c>
      <c r="Q13" s="6">
        <f t="shared" si="7"/>
        <v>2.9661016949152543</v>
      </c>
      <c r="R13" s="4">
        <v>12</v>
      </c>
      <c r="S13" s="6">
        <f t="shared" si="8"/>
        <v>3.9867109634551494</v>
      </c>
      <c r="T13" s="184">
        <v>13</v>
      </c>
      <c r="U13" s="6">
        <f t="shared" si="9"/>
        <v>3.7142857142857144</v>
      </c>
    </row>
    <row r="14" spans="1:21" ht="24.95" customHeight="1">
      <c r="A14" s="182" t="s">
        <v>910</v>
      </c>
      <c r="B14" s="4">
        <v>5</v>
      </c>
      <c r="C14" s="6">
        <f t="shared" si="1"/>
        <v>1.3227513227513228</v>
      </c>
      <c r="D14" s="4">
        <v>1</v>
      </c>
      <c r="E14" s="6">
        <f t="shared" si="1"/>
        <v>0.25773195876288657</v>
      </c>
      <c r="F14" s="4">
        <v>4</v>
      </c>
      <c r="G14" s="6">
        <f t="shared" si="2"/>
        <v>0.97799511002444983</v>
      </c>
      <c r="H14" s="4">
        <v>1</v>
      </c>
      <c r="I14" s="6">
        <f t="shared" si="3"/>
        <v>0.35842293906810035</v>
      </c>
      <c r="J14" s="4">
        <v>2</v>
      </c>
      <c r="K14" s="6">
        <f t="shared" si="4"/>
        <v>0.76628352490421447</v>
      </c>
      <c r="L14" s="4">
        <v>6</v>
      </c>
      <c r="M14" s="6">
        <f t="shared" si="5"/>
        <v>2.0477815699658701</v>
      </c>
      <c r="N14" s="4">
        <v>1</v>
      </c>
      <c r="O14" s="6">
        <f t="shared" si="6"/>
        <v>0.30769230769230771</v>
      </c>
      <c r="P14" s="4" t="s">
        <v>9</v>
      </c>
      <c r="Q14" s="6" t="str">
        <f t="shared" si="7"/>
        <v>-</v>
      </c>
      <c r="R14" s="4">
        <v>11</v>
      </c>
      <c r="S14" s="6">
        <f t="shared" si="8"/>
        <v>3.6544850498338874</v>
      </c>
      <c r="T14" s="184">
        <v>6</v>
      </c>
      <c r="U14" s="6">
        <f t="shared" si="9"/>
        <v>1.7142857142857144</v>
      </c>
    </row>
    <row r="15" spans="1:21" ht="24.95" customHeight="1">
      <c r="A15" s="182" t="s">
        <v>911</v>
      </c>
      <c r="B15" s="4">
        <v>5</v>
      </c>
      <c r="C15" s="6">
        <f t="shared" si="1"/>
        <v>1.3227513227513228</v>
      </c>
      <c r="D15" s="4">
        <v>4</v>
      </c>
      <c r="E15" s="6">
        <f t="shared" si="1"/>
        <v>1.0309278350515463</v>
      </c>
      <c r="F15" s="4">
        <v>2</v>
      </c>
      <c r="G15" s="6">
        <f t="shared" si="2"/>
        <v>0.48899755501222492</v>
      </c>
      <c r="H15" s="4">
        <v>2</v>
      </c>
      <c r="I15" s="6">
        <f t="shared" si="3"/>
        <v>0.71684587813620071</v>
      </c>
      <c r="J15" s="4">
        <v>3</v>
      </c>
      <c r="K15" s="6">
        <f t="shared" si="4"/>
        <v>1.1494252873563218</v>
      </c>
      <c r="L15" s="4">
        <v>1</v>
      </c>
      <c r="M15" s="6">
        <f t="shared" si="5"/>
        <v>0.34129692832764508</v>
      </c>
      <c r="N15" s="4">
        <v>7</v>
      </c>
      <c r="O15" s="6">
        <f t="shared" si="6"/>
        <v>2.1538461538461537</v>
      </c>
      <c r="P15" s="4">
        <v>5</v>
      </c>
      <c r="Q15" s="6">
        <f t="shared" si="7"/>
        <v>2.1186440677966099</v>
      </c>
      <c r="R15" s="4">
        <v>5</v>
      </c>
      <c r="S15" s="6">
        <f t="shared" si="8"/>
        <v>1.6611295681063125</v>
      </c>
      <c r="T15" s="184">
        <v>4</v>
      </c>
      <c r="U15" s="6">
        <f t="shared" si="9"/>
        <v>1.1428571428571428</v>
      </c>
    </row>
    <row r="16" spans="1:21" ht="24.95" customHeight="1">
      <c r="A16" s="291" t="s">
        <v>912</v>
      </c>
      <c r="B16" s="292">
        <v>2</v>
      </c>
      <c r="C16" s="293">
        <f t="shared" si="1"/>
        <v>0.52910052910052907</v>
      </c>
      <c r="D16" s="292">
        <v>4</v>
      </c>
      <c r="E16" s="293">
        <f t="shared" si="1"/>
        <v>1.0309278350515463</v>
      </c>
      <c r="F16" s="292">
        <v>1</v>
      </c>
      <c r="G16" s="293">
        <f t="shared" si="2"/>
        <v>0.24449877750611246</v>
      </c>
      <c r="H16" s="4">
        <v>3</v>
      </c>
      <c r="I16" s="6">
        <f t="shared" si="3"/>
        <v>1.0752688172043012</v>
      </c>
      <c r="J16" s="4">
        <v>1</v>
      </c>
      <c r="K16" s="6">
        <f t="shared" si="4"/>
        <v>0.38314176245210724</v>
      </c>
      <c r="L16" s="4">
        <v>1</v>
      </c>
      <c r="M16" s="6">
        <f t="shared" si="5"/>
        <v>0.34129692832764508</v>
      </c>
      <c r="N16" s="4">
        <v>3</v>
      </c>
      <c r="O16" s="6">
        <f t="shared" si="6"/>
        <v>0.92307692307692313</v>
      </c>
      <c r="P16" s="4">
        <v>3</v>
      </c>
      <c r="Q16" s="6">
        <f t="shared" si="7"/>
        <v>1.2711864406779663</v>
      </c>
      <c r="R16" s="4">
        <v>5</v>
      </c>
      <c r="S16" s="6">
        <f t="shared" si="8"/>
        <v>1.6611295681063125</v>
      </c>
      <c r="T16" s="184">
        <v>4</v>
      </c>
      <c r="U16" s="6">
        <f t="shared" si="9"/>
        <v>1.1428571428571428</v>
      </c>
    </row>
    <row r="17" spans="1:21" ht="24.95" customHeight="1">
      <c r="A17" s="182" t="s">
        <v>631</v>
      </c>
      <c r="B17" s="4" t="s">
        <v>9</v>
      </c>
      <c r="C17" s="6" t="str">
        <f t="shared" si="1"/>
        <v>-</v>
      </c>
      <c r="D17" s="4">
        <v>5</v>
      </c>
      <c r="E17" s="6">
        <f t="shared" si="1"/>
        <v>1.2886597938144329</v>
      </c>
      <c r="F17" s="4">
        <v>2</v>
      </c>
      <c r="G17" s="6">
        <f t="shared" si="2"/>
        <v>0.48899755501222492</v>
      </c>
      <c r="H17" s="4">
        <v>8</v>
      </c>
      <c r="I17" s="6">
        <f t="shared" si="3"/>
        <v>2.8673835125448028</v>
      </c>
      <c r="J17" s="4">
        <v>13</v>
      </c>
      <c r="K17" s="6">
        <f t="shared" si="4"/>
        <v>4.980842911877394</v>
      </c>
      <c r="L17" s="4">
        <v>27</v>
      </c>
      <c r="M17" s="6">
        <f t="shared" si="5"/>
        <v>9.2150170648464158</v>
      </c>
      <c r="N17" s="4">
        <v>28</v>
      </c>
      <c r="O17" s="6">
        <f t="shared" si="6"/>
        <v>8.615384615384615</v>
      </c>
      <c r="P17" s="4">
        <v>11</v>
      </c>
      <c r="Q17" s="6">
        <f t="shared" si="7"/>
        <v>4.6610169491525424</v>
      </c>
      <c r="R17" s="4">
        <v>10</v>
      </c>
      <c r="S17" s="6">
        <f t="shared" si="8"/>
        <v>3.322259136212625</v>
      </c>
      <c r="T17" s="184">
        <v>3</v>
      </c>
      <c r="U17" s="6">
        <f t="shared" si="9"/>
        <v>0.85714285714285721</v>
      </c>
    </row>
    <row r="18" spans="1:21" ht="24.95" customHeight="1">
      <c r="A18" s="182" t="s">
        <v>632</v>
      </c>
      <c r="B18" s="4">
        <v>1</v>
      </c>
      <c r="C18" s="6">
        <f t="shared" si="1"/>
        <v>0.26455026455026454</v>
      </c>
      <c r="D18" s="4">
        <v>2</v>
      </c>
      <c r="E18" s="6">
        <f t="shared" si="1"/>
        <v>0.51546391752577314</v>
      </c>
      <c r="F18" s="4">
        <v>1</v>
      </c>
      <c r="G18" s="6">
        <f t="shared" si="2"/>
        <v>0.24449877750611246</v>
      </c>
      <c r="H18" s="4">
        <v>1</v>
      </c>
      <c r="I18" s="6">
        <f t="shared" si="3"/>
        <v>0.35842293906810035</v>
      </c>
      <c r="J18" s="4">
        <v>5</v>
      </c>
      <c r="K18" s="6">
        <f t="shared" si="4"/>
        <v>1.9157088122605364</v>
      </c>
      <c r="L18" s="4">
        <v>1</v>
      </c>
      <c r="M18" s="6">
        <f t="shared" si="5"/>
        <v>0.34129692832764508</v>
      </c>
      <c r="N18" s="4">
        <v>1</v>
      </c>
      <c r="O18" s="6">
        <f t="shared" si="6"/>
        <v>0.30769230769230771</v>
      </c>
      <c r="P18" s="4">
        <v>3</v>
      </c>
      <c r="Q18" s="6">
        <f t="shared" si="7"/>
        <v>1.2711864406779663</v>
      </c>
      <c r="R18" s="4">
        <v>2</v>
      </c>
      <c r="S18" s="6">
        <f t="shared" si="8"/>
        <v>0.66445182724252494</v>
      </c>
      <c r="T18" s="184">
        <v>1</v>
      </c>
      <c r="U18" s="6">
        <f t="shared" si="9"/>
        <v>0.2857142857142857</v>
      </c>
    </row>
    <row r="19" spans="1:21" ht="24.95" customHeight="1">
      <c r="A19" s="182" t="s">
        <v>633</v>
      </c>
      <c r="B19" s="4" t="s">
        <v>9</v>
      </c>
      <c r="C19" s="6" t="str">
        <f t="shared" si="1"/>
        <v>-</v>
      </c>
      <c r="D19" s="4">
        <v>1</v>
      </c>
      <c r="E19" s="6">
        <f t="shared" si="1"/>
        <v>0.25773195876288657</v>
      </c>
      <c r="F19" s="4" t="s">
        <v>9</v>
      </c>
      <c r="G19" s="6" t="str">
        <f t="shared" si="2"/>
        <v>-</v>
      </c>
      <c r="H19" s="4" t="s">
        <v>9</v>
      </c>
      <c r="I19" s="6" t="str">
        <f t="shared" si="3"/>
        <v>-</v>
      </c>
      <c r="J19" s="4" t="s">
        <v>9</v>
      </c>
      <c r="K19" s="6" t="str">
        <f t="shared" si="4"/>
        <v>-</v>
      </c>
      <c r="L19" s="4" t="s">
        <v>9</v>
      </c>
      <c r="M19" s="6" t="str">
        <f t="shared" si="5"/>
        <v>-</v>
      </c>
      <c r="N19" s="4">
        <v>1</v>
      </c>
      <c r="O19" s="6">
        <f t="shared" si="6"/>
        <v>0.30769230769230771</v>
      </c>
      <c r="P19" s="4">
        <v>3</v>
      </c>
      <c r="Q19" s="6">
        <f t="shared" si="7"/>
        <v>1.2711864406779663</v>
      </c>
      <c r="R19" s="4" t="s">
        <v>9</v>
      </c>
      <c r="S19" s="6" t="str">
        <f t="shared" si="8"/>
        <v>-</v>
      </c>
      <c r="T19" s="184">
        <v>1</v>
      </c>
      <c r="U19" s="6">
        <f t="shared" si="9"/>
        <v>0.2857142857142857</v>
      </c>
    </row>
    <row r="20" spans="1:21" ht="24.95" customHeight="1">
      <c r="A20" s="182" t="s">
        <v>634</v>
      </c>
      <c r="B20" s="4">
        <v>1</v>
      </c>
      <c r="C20" s="6">
        <f t="shared" si="1"/>
        <v>0.26455026455026454</v>
      </c>
      <c r="D20" s="4" t="s">
        <v>9</v>
      </c>
      <c r="E20" s="6" t="str">
        <f t="shared" si="1"/>
        <v>-</v>
      </c>
      <c r="F20" s="4">
        <v>1</v>
      </c>
      <c r="G20" s="6">
        <f t="shared" si="2"/>
        <v>0.24449877750611246</v>
      </c>
      <c r="H20" s="4" t="s">
        <v>9</v>
      </c>
      <c r="I20" s="6" t="str">
        <f t="shared" si="3"/>
        <v>-</v>
      </c>
      <c r="J20" s="4" t="s">
        <v>9</v>
      </c>
      <c r="K20" s="6" t="str">
        <f t="shared" si="4"/>
        <v>-</v>
      </c>
      <c r="L20" s="4" t="s">
        <v>9</v>
      </c>
      <c r="M20" s="6" t="str">
        <f t="shared" si="5"/>
        <v>-</v>
      </c>
      <c r="N20" s="4" t="s">
        <v>9</v>
      </c>
      <c r="O20" s="6" t="str">
        <f t="shared" si="6"/>
        <v>-</v>
      </c>
      <c r="P20" s="4">
        <v>1</v>
      </c>
      <c r="Q20" s="6">
        <f t="shared" si="7"/>
        <v>0.42372881355932202</v>
      </c>
      <c r="R20" s="4">
        <v>1</v>
      </c>
      <c r="S20" s="6">
        <f t="shared" si="8"/>
        <v>0.33222591362126247</v>
      </c>
      <c r="T20" s="184">
        <v>1</v>
      </c>
      <c r="U20" s="6">
        <f t="shared" si="9"/>
        <v>0.2857142857142857</v>
      </c>
    </row>
    <row r="21" spans="1:21" ht="24.95" customHeight="1">
      <c r="A21" s="182" t="s">
        <v>635</v>
      </c>
      <c r="B21" s="4" t="s">
        <v>9</v>
      </c>
      <c r="C21" s="6" t="str">
        <f t="shared" si="1"/>
        <v>-</v>
      </c>
      <c r="D21" s="4" t="s">
        <v>9</v>
      </c>
      <c r="E21" s="6" t="str">
        <f t="shared" si="1"/>
        <v>-</v>
      </c>
      <c r="F21" s="4" t="s">
        <v>9</v>
      </c>
      <c r="G21" s="6" t="str">
        <f t="shared" si="2"/>
        <v>-</v>
      </c>
      <c r="H21" s="4" t="s">
        <v>9</v>
      </c>
      <c r="I21" s="6" t="str">
        <f t="shared" si="3"/>
        <v>-</v>
      </c>
      <c r="J21" s="4" t="s">
        <v>9</v>
      </c>
      <c r="K21" s="6" t="str">
        <f t="shared" si="4"/>
        <v>-</v>
      </c>
      <c r="L21" s="4" t="s">
        <v>9</v>
      </c>
      <c r="M21" s="6" t="str">
        <f t="shared" si="5"/>
        <v>-</v>
      </c>
      <c r="N21" s="4" t="s">
        <v>9</v>
      </c>
      <c r="O21" s="6" t="str">
        <f t="shared" si="6"/>
        <v>-</v>
      </c>
      <c r="P21" s="4" t="s">
        <v>9</v>
      </c>
      <c r="Q21" s="6" t="str">
        <f t="shared" si="7"/>
        <v>-</v>
      </c>
      <c r="R21" s="4">
        <v>1</v>
      </c>
      <c r="S21" s="6">
        <f t="shared" si="8"/>
        <v>0.33222591362126247</v>
      </c>
      <c r="T21" s="185" t="s">
        <v>9</v>
      </c>
      <c r="U21" s="6" t="str">
        <f t="shared" si="9"/>
        <v>-</v>
      </c>
    </row>
    <row r="22" spans="1:21" ht="24.95" customHeight="1">
      <c r="A22" s="182" t="s">
        <v>636</v>
      </c>
      <c r="B22" s="4" t="s">
        <v>9</v>
      </c>
      <c r="C22" s="6" t="str">
        <f t="shared" si="1"/>
        <v>-</v>
      </c>
      <c r="D22" s="4">
        <v>1</v>
      </c>
      <c r="E22" s="6">
        <f t="shared" si="1"/>
        <v>0.25773195876288657</v>
      </c>
      <c r="F22" s="4">
        <v>1</v>
      </c>
      <c r="G22" s="6">
        <f t="shared" si="2"/>
        <v>0.24449877750611246</v>
      </c>
      <c r="H22" s="4">
        <v>1</v>
      </c>
      <c r="I22" s="6">
        <f t="shared" si="3"/>
        <v>0.35842293906810035</v>
      </c>
      <c r="J22" s="4" t="s">
        <v>9</v>
      </c>
      <c r="K22" s="6" t="str">
        <f t="shared" si="4"/>
        <v>-</v>
      </c>
      <c r="L22" s="4" t="s">
        <v>9</v>
      </c>
      <c r="M22" s="6" t="str">
        <f t="shared" si="5"/>
        <v>-</v>
      </c>
      <c r="N22" s="4" t="s">
        <v>9</v>
      </c>
      <c r="O22" s="6" t="str">
        <f t="shared" si="6"/>
        <v>-</v>
      </c>
      <c r="P22" s="4" t="s">
        <v>9</v>
      </c>
      <c r="Q22" s="6" t="str">
        <f t="shared" si="7"/>
        <v>-</v>
      </c>
      <c r="R22" s="4" t="s">
        <v>9</v>
      </c>
      <c r="S22" s="6" t="str">
        <f t="shared" si="8"/>
        <v>-</v>
      </c>
      <c r="T22" s="185" t="s">
        <v>9</v>
      </c>
      <c r="U22" s="6" t="str">
        <f t="shared" si="9"/>
        <v>-</v>
      </c>
    </row>
    <row r="23" spans="1:21" ht="24.95" customHeight="1">
      <c r="A23" s="182" t="s">
        <v>637</v>
      </c>
      <c r="B23" s="4" t="s">
        <v>9</v>
      </c>
      <c r="C23" s="6" t="str">
        <f t="shared" si="1"/>
        <v>-</v>
      </c>
      <c r="D23" s="4" t="s">
        <v>9</v>
      </c>
      <c r="E23" s="6" t="str">
        <f t="shared" si="1"/>
        <v>-</v>
      </c>
      <c r="F23" s="4">
        <v>1</v>
      </c>
      <c r="G23" s="6">
        <f t="shared" si="2"/>
        <v>0.24449877750611246</v>
      </c>
      <c r="H23" s="4" t="s">
        <v>9</v>
      </c>
      <c r="I23" s="6" t="str">
        <f t="shared" si="3"/>
        <v>-</v>
      </c>
      <c r="J23" s="4" t="s">
        <v>9</v>
      </c>
      <c r="K23" s="6" t="str">
        <f t="shared" si="4"/>
        <v>-</v>
      </c>
      <c r="L23" s="4" t="s">
        <v>9</v>
      </c>
      <c r="M23" s="6" t="str">
        <f t="shared" si="5"/>
        <v>-</v>
      </c>
      <c r="N23" s="4" t="s">
        <v>9</v>
      </c>
      <c r="O23" s="6" t="str">
        <f t="shared" si="6"/>
        <v>-</v>
      </c>
      <c r="P23" s="4" t="s">
        <v>9</v>
      </c>
      <c r="Q23" s="6" t="str">
        <f t="shared" si="7"/>
        <v>-</v>
      </c>
      <c r="R23" s="4" t="s">
        <v>9</v>
      </c>
      <c r="S23" s="6" t="str">
        <f t="shared" si="8"/>
        <v>-</v>
      </c>
      <c r="T23" s="185" t="s">
        <v>9</v>
      </c>
      <c r="U23" s="6" t="str">
        <f t="shared" si="9"/>
        <v>-</v>
      </c>
    </row>
    <row r="24" spans="1:21" ht="24.95" customHeight="1">
      <c r="A24" s="182" t="s">
        <v>638</v>
      </c>
      <c r="B24" s="4">
        <v>1</v>
      </c>
      <c r="C24" s="6">
        <f t="shared" si="1"/>
        <v>0.26455026455026454</v>
      </c>
      <c r="D24" s="4">
        <v>1</v>
      </c>
      <c r="E24" s="6">
        <f t="shared" si="1"/>
        <v>0.25773195876288657</v>
      </c>
      <c r="F24" s="4">
        <v>1</v>
      </c>
      <c r="G24" s="6">
        <f t="shared" si="2"/>
        <v>0.24449877750611246</v>
      </c>
      <c r="H24" s="4" t="s">
        <v>9</v>
      </c>
      <c r="I24" s="6" t="str">
        <f t="shared" si="3"/>
        <v>-</v>
      </c>
      <c r="J24" s="4">
        <v>2</v>
      </c>
      <c r="K24" s="6">
        <f t="shared" si="4"/>
        <v>0.76628352490421447</v>
      </c>
      <c r="L24" s="4" t="s">
        <v>9</v>
      </c>
      <c r="M24" s="6" t="str">
        <f t="shared" si="5"/>
        <v>-</v>
      </c>
      <c r="N24" s="4" t="s">
        <v>9</v>
      </c>
      <c r="O24" s="6" t="str">
        <f t="shared" si="6"/>
        <v>-</v>
      </c>
      <c r="P24" s="4" t="s">
        <v>9</v>
      </c>
      <c r="Q24" s="6" t="str">
        <f t="shared" si="7"/>
        <v>-</v>
      </c>
      <c r="R24" s="4" t="s">
        <v>9</v>
      </c>
      <c r="S24" s="6" t="str">
        <f t="shared" si="8"/>
        <v>-</v>
      </c>
      <c r="T24" s="185" t="s">
        <v>9</v>
      </c>
      <c r="U24" s="6" t="str">
        <f t="shared" si="9"/>
        <v>-</v>
      </c>
    </row>
    <row r="25" spans="1:21" ht="24.95" customHeight="1">
      <c r="A25" s="182" t="s">
        <v>639</v>
      </c>
      <c r="B25" s="4">
        <v>1</v>
      </c>
      <c r="C25" s="6">
        <f t="shared" si="1"/>
        <v>0.26455026455026454</v>
      </c>
      <c r="D25" s="4" t="s">
        <v>9</v>
      </c>
      <c r="E25" s="6" t="str">
        <f t="shared" si="1"/>
        <v>-</v>
      </c>
      <c r="F25" s="4" t="s">
        <v>9</v>
      </c>
      <c r="G25" s="6" t="str">
        <f t="shared" si="2"/>
        <v>-</v>
      </c>
      <c r="H25" s="4" t="s">
        <v>9</v>
      </c>
      <c r="I25" s="6" t="str">
        <f t="shared" si="3"/>
        <v>-</v>
      </c>
      <c r="J25" s="4" t="s">
        <v>9</v>
      </c>
      <c r="K25" s="6" t="str">
        <f t="shared" si="4"/>
        <v>-</v>
      </c>
      <c r="L25" s="4" t="s">
        <v>9</v>
      </c>
      <c r="M25" s="6" t="str">
        <f t="shared" si="5"/>
        <v>-</v>
      </c>
      <c r="N25" s="4" t="s">
        <v>9</v>
      </c>
      <c r="O25" s="6" t="str">
        <f t="shared" si="6"/>
        <v>-</v>
      </c>
      <c r="P25" s="4" t="s">
        <v>9</v>
      </c>
      <c r="Q25" s="6" t="str">
        <f t="shared" si="7"/>
        <v>-</v>
      </c>
      <c r="R25" s="4" t="s">
        <v>9</v>
      </c>
      <c r="S25" s="6" t="str">
        <f t="shared" si="8"/>
        <v>-</v>
      </c>
      <c r="T25" s="185" t="s">
        <v>9</v>
      </c>
      <c r="U25" s="6" t="str">
        <f t="shared" si="9"/>
        <v>-</v>
      </c>
    </row>
    <row r="26" spans="1:21" ht="24.95" customHeight="1">
      <c r="A26" s="182" t="s">
        <v>913</v>
      </c>
      <c r="B26" s="4" t="s">
        <v>9</v>
      </c>
      <c r="C26" s="6" t="str">
        <f t="shared" si="1"/>
        <v>-</v>
      </c>
      <c r="D26" s="4" t="s">
        <v>9</v>
      </c>
      <c r="E26" s="6" t="str">
        <f t="shared" si="1"/>
        <v>-</v>
      </c>
      <c r="F26" s="4">
        <v>2</v>
      </c>
      <c r="G26" s="6">
        <f t="shared" si="2"/>
        <v>0.48899755501222492</v>
      </c>
      <c r="H26" s="4" t="s">
        <v>9</v>
      </c>
      <c r="I26" s="6" t="str">
        <f t="shared" si="3"/>
        <v>-</v>
      </c>
      <c r="J26" s="4" t="s">
        <v>9</v>
      </c>
      <c r="K26" s="6" t="str">
        <f t="shared" si="4"/>
        <v>-</v>
      </c>
      <c r="L26" s="4" t="s">
        <v>9</v>
      </c>
      <c r="M26" s="6" t="str">
        <f t="shared" si="5"/>
        <v>-</v>
      </c>
      <c r="N26" s="4" t="s">
        <v>9</v>
      </c>
      <c r="O26" s="6" t="str">
        <f t="shared" si="6"/>
        <v>-</v>
      </c>
      <c r="P26" s="4" t="s">
        <v>9</v>
      </c>
      <c r="Q26" s="6" t="str">
        <f t="shared" si="7"/>
        <v>-</v>
      </c>
      <c r="R26" s="4" t="s">
        <v>9</v>
      </c>
      <c r="S26" s="6" t="str">
        <f t="shared" si="8"/>
        <v>-</v>
      </c>
      <c r="T26" s="185" t="s">
        <v>9</v>
      </c>
      <c r="U26" s="6" t="str">
        <f t="shared" si="9"/>
        <v>-</v>
      </c>
    </row>
    <row r="27" spans="1:21" ht="24.95" customHeight="1">
      <c r="A27" s="182" t="s">
        <v>640</v>
      </c>
      <c r="B27" s="4" t="s">
        <v>9</v>
      </c>
      <c r="C27" s="6" t="str">
        <f t="shared" si="1"/>
        <v>-</v>
      </c>
      <c r="D27" s="4" t="s">
        <v>9</v>
      </c>
      <c r="E27" s="6" t="str">
        <f t="shared" si="1"/>
        <v>-</v>
      </c>
      <c r="F27" s="4" t="s">
        <v>9</v>
      </c>
      <c r="G27" s="6" t="str">
        <f t="shared" si="2"/>
        <v>-</v>
      </c>
      <c r="H27" s="4" t="s">
        <v>9</v>
      </c>
      <c r="I27" s="6" t="str">
        <f t="shared" si="3"/>
        <v>-</v>
      </c>
      <c r="J27" s="4" t="s">
        <v>9</v>
      </c>
      <c r="K27" s="6" t="str">
        <f t="shared" si="4"/>
        <v>-</v>
      </c>
      <c r="L27" s="4" t="s">
        <v>9</v>
      </c>
      <c r="M27" s="6" t="str">
        <f t="shared" si="5"/>
        <v>-</v>
      </c>
      <c r="N27" s="4" t="s">
        <v>9</v>
      </c>
      <c r="O27" s="6" t="str">
        <f t="shared" si="6"/>
        <v>-</v>
      </c>
      <c r="P27" s="4" t="s">
        <v>9</v>
      </c>
      <c r="Q27" s="6" t="str">
        <f t="shared" si="7"/>
        <v>-</v>
      </c>
      <c r="R27" s="4">
        <v>1</v>
      </c>
      <c r="S27" s="6">
        <f t="shared" si="8"/>
        <v>0.33222591362126247</v>
      </c>
      <c r="T27" s="185" t="s">
        <v>9</v>
      </c>
      <c r="U27" s="6" t="str">
        <f t="shared" si="9"/>
        <v>-</v>
      </c>
    </row>
    <row r="28" spans="1:21" ht="24.95" customHeight="1">
      <c r="A28" s="182" t="s">
        <v>641</v>
      </c>
      <c r="B28" s="4" t="s">
        <v>9</v>
      </c>
      <c r="C28" s="6" t="str">
        <f t="shared" si="1"/>
        <v>-</v>
      </c>
      <c r="D28" s="4">
        <v>1</v>
      </c>
      <c r="E28" s="6">
        <f t="shared" si="1"/>
        <v>0.25773195876288657</v>
      </c>
      <c r="F28" s="4">
        <v>5</v>
      </c>
      <c r="G28" s="6">
        <f t="shared" si="2"/>
        <v>1.2224938875305624</v>
      </c>
      <c r="H28" s="4">
        <v>1</v>
      </c>
      <c r="I28" s="6">
        <f t="shared" si="3"/>
        <v>0.35842293906810035</v>
      </c>
      <c r="J28" s="4" t="s">
        <v>9</v>
      </c>
      <c r="K28" s="6" t="str">
        <f t="shared" si="4"/>
        <v>-</v>
      </c>
      <c r="L28" s="4">
        <v>1</v>
      </c>
      <c r="M28" s="6">
        <f t="shared" si="5"/>
        <v>0.34129692832764508</v>
      </c>
      <c r="N28" s="4" t="s">
        <v>9</v>
      </c>
      <c r="O28" s="6" t="str">
        <f t="shared" si="6"/>
        <v>-</v>
      </c>
      <c r="P28" s="4">
        <v>1</v>
      </c>
      <c r="Q28" s="6">
        <f t="shared" si="7"/>
        <v>0.42372881355932202</v>
      </c>
      <c r="R28" s="4" t="s">
        <v>9</v>
      </c>
      <c r="S28" s="6" t="str">
        <f t="shared" si="8"/>
        <v>-</v>
      </c>
      <c r="T28" s="185" t="s">
        <v>9</v>
      </c>
      <c r="U28" s="6" t="str">
        <f t="shared" si="9"/>
        <v>-</v>
      </c>
    </row>
    <row r="29" spans="1:21" ht="24.95" customHeight="1">
      <c r="A29" s="182" t="s">
        <v>642</v>
      </c>
      <c r="B29" s="4" t="s">
        <v>9</v>
      </c>
      <c r="C29" s="6" t="str">
        <f t="shared" si="1"/>
        <v>-</v>
      </c>
      <c r="D29" s="4" t="s">
        <v>9</v>
      </c>
      <c r="E29" s="6" t="str">
        <f t="shared" si="1"/>
        <v>-</v>
      </c>
      <c r="F29" s="4" t="s">
        <v>9</v>
      </c>
      <c r="G29" s="6" t="str">
        <f t="shared" si="2"/>
        <v>-</v>
      </c>
      <c r="H29" s="4" t="s">
        <v>9</v>
      </c>
      <c r="I29" s="6" t="str">
        <f t="shared" si="3"/>
        <v>-</v>
      </c>
      <c r="J29" s="4" t="s">
        <v>9</v>
      </c>
      <c r="K29" s="6" t="str">
        <f t="shared" si="4"/>
        <v>-</v>
      </c>
      <c r="L29" s="4" t="s">
        <v>9</v>
      </c>
      <c r="M29" s="6" t="str">
        <f t="shared" si="5"/>
        <v>-</v>
      </c>
      <c r="N29" s="4">
        <v>1</v>
      </c>
      <c r="O29" s="6">
        <f t="shared" si="6"/>
        <v>0.30769230769230771</v>
      </c>
      <c r="P29" s="4" t="s">
        <v>9</v>
      </c>
      <c r="Q29" s="6" t="str">
        <f t="shared" si="7"/>
        <v>-</v>
      </c>
      <c r="R29" s="4" t="s">
        <v>9</v>
      </c>
      <c r="S29" s="6" t="str">
        <f t="shared" si="8"/>
        <v>-</v>
      </c>
      <c r="T29" s="185" t="s">
        <v>9</v>
      </c>
      <c r="U29" s="6" t="str">
        <f t="shared" si="9"/>
        <v>-</v>
      </c>
    </row>
    <row r="30" spans="1:21" ht="24.95" customHeight="1">
      <c r="A30" s="182" t="s">
        <v>914</v>
      </c>
      <c r="B30" s="4" t="s">
        <v>9</v>
      </c>
      <c r="C30" s="6" t="str">
        <f t="shared" si="1"/>
        <v>-</v>
      </c>
      <c r="D30" s="4">
        <v>2</v>
      </c>
      <c r="E30" s="6">
        <f t="shared" si="1"/>
        <v>0.51546391752577314</v>
      </c>
      <c r="F30" s="4">
        <v>1</v>
      </c>
      <c r="G30" s="6">
        <f t="shared" si="2"/>
        <v>0.24449877750611246</v>
      </c>
      <c r="H30" s="4" t="s">
        <v>9</v>
      </c>
      <c r="I30" s="6" t="str">
        <f t="shared" si="3"/>
        <v>-</v>
      </c>
      <c r="J30" s="4" t="s">
        <v>9</v>
      </c>
      <c r="K30" s="6" t="str">
        <f t="shared" si="4"/>
        <v>-</v>
      </c>
      <c r="L30" s="4" t="s">
        <v>9</v>
      </c>
      <c r="M30" s="6" t="str">
        <f t="shared" si="5"/>
        <v>-</v>
      </c>
      <c r="N30" s="4" t="s">
        <v>9</v>
      </c>
      <c r="O30" s="6" t="str">
        <f t="shared" si="6"/>
        <v>-</v>
      </c>
      <c r="P30" s="4" t="s">
        <v>9</v>
      </c>
      <c r="Q30" s="6" t="str">
        <f t="shared" si="7"/>
        <v>-</v>
      </c>
      <c r="R30" s="4" t="s">
        <v>9</v>
      </c>
      <c r="S30" s="6" t="str">
        <f t="shared" si="8"/>
        <v>-</v>
      </c>
      <c r="T30" s="185" t="s">
        <v>9</v>
      </c>
      <c r="U30" s="6" t="str">
        <f t="shared" si="9"/>
        <v>-</v>
      </c>
    </row>
    <row r="31" spans="1:21" ht="24.95" customHeight="1">
      <c r="A31" s="183" t="s">
        <v>915</v>
      </c>
      <c r="B31" s="9" t="s">
        <v>9</v>
      </c>
      <c r="C31" s="11" t="str">
        <f t="shared" si="1"/>
        <v>-</v>
      </c>
      <c r="D31" s="9">
        <v>1</v>
      </c>
      <c r="E31" s="11">
        <f t="shared" si="1"/>
        <v>0.25773195876288657</v>
      </c>
      <c r="F31" s="9" t="s">
        <v>9</v>
      </c>
      <c r="G31" s="11" t="str">
        <f t="shared" si="2"/>
        <v>-</v>
      </c>
      <c r="H31" s="9" t="s">
        <v>9</v>
      </c>
      <c r="I31" s="11" t="str">
        <f t="shared" si="3"/>
        <v>-</v>
      </c>
      <c r="J31" s="9" t="s">
        <v>9</v>
      </c>
      <c r="K31" s="11" t="str">
        <f t="shared" si="4"/>
        <v>-</v>
      </c>
      <c r="L31" s="9" t="s">
        <v>9</v>
      </c>
      <c r="M31" s="11" t="str">
        <f t="shared" si="5"/>
        <v>-</v>
      </c>
      <c r="N31" s="9" t="s">
        <v>9</v>
      </c>
      <c r="O31" s="11" t="str">
        <f t="shared" si="6"/>
        <v>-</v>
      </c>
      <c r="P31" s="9" t="s">
        <v>9</v>
      </c>
      <c r="Q31" s="11" t="str">
        <f t="shared" si="7"/>
        <v>-</v>
      </c>
      <c r="R31" s="9" t="s">
        <v>9</v>
      </c>
      <c r="S31" s="11" t="str">
        <f t="shared" si="8"/>
        <v>-</v>
      </c>
      <c r="T31" s="294">
        <v>1</v>
      </c>
      <c r="U31" s="11">
        <f t="shared" si="9"/>
        <v>0.2857142857142857</v>
      </c>
    </row>
    <row r="32" spans="1:21" s="14" customFormat="1" ht="29.25" customHeight="1">
      <c r="A32" s="366" t="s">
        <v>627</v>
      </c>
      <c r="B32" s="295"/>
      <c r="C32" s="295"/>
      <c r="D32" s="295"/>
      <c r="E32" s="295"/>
      <c r="F32" s="295"/>
      <c r="G32" s="295"/>
      <c r="H32" s="156"/>
      <c r="I32" s="156"/>
      <c r="J32" s="156"/>
      <c r="K32" s="156"/>
      <c r="L32" s="156"/>
      <c r="M32" s="156"/>
      <c r="N32" s="156"/>
      <c r="O32" s="156"/>
      <c r="P32" s="156"/>
      <c r="Q32" s="156"/>
      <c r="R32" s="156"/>
      <c r="S32" s="156"/>
      <c r="T32" s="156"/>
      <c r="U32" s="156"/>
    </row>
  </sheetData>
  <sortState ref="A7:U30">
    <sortCondition descending="1" ref="T7:T30"/>
    <sortCondition ref="A7:A30"/>
  </sortState>
  <mergeCells count="12">
    <mergeCell ref="T2:U2"/>
    <mergeCell ref="A32:G32"/>
    <mergeCell ref="A1:U1"/>
    <mergeCell ref="B2:C2"/>
    <mergeCell ref="D2:E2"/>
    <mergeCell ref="F2:G2"/>
    <mergeCell ref="H2:I2"/>
    <mergeCell ref="J2:K2"/>
    <mergeCell ref="L2:M2"/>
    <mergeCell ref="N2:O2"/>
    <mergeCell ref="P2:Q2"/>
    <mergeCell ref="R2:S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4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18"/>
  <sheetViews>
    <sheetView showGridLines="0" showRuler="0" zoomScaleNormal="100" zoomScalePageLayoutView="125" workbookViewId="0">
      <pane xSplit="1" topLeftCell="B1" activePane="topRight" state="frozen"/>
      <selection activeCell="F17" sqref="F17"/>
      <selection pane="topRight" activeCell="A17" sqref="A17:F17"/>
    </sheetView>
  </sheetViews>
  <sheetFormatPr defaultColWidth="9" defaultRowHeight="20.100000000000001" customHeight="1"/>
  <cols>
    <col min="1" max="1" width="19" style="17" customWidth="1"/>
    <col min="2" max="11" width="9" style="17" customWidth="1"/>
    <col min="12" max="16384" width="9" style="17"/>
  </cols>
  <sheetData>
    <row r="1" spans="1:13" ht="23.25" customHeight="1">
      <c r="A1" s="330" t="s">
        <v>505</v>
      </c>
      <c r="B1" s="330"/>
      <c r="C1" s="330"/>
      <c r="D1" s="330"/>
      <c r="E1" s="330"/>
      <c r="F1" s="330"/>
      <c r="G1" s="330"/>
      <c r="H1" s="330"/>
      <c r="I1" s="330"/>
      <c r="J1" s="330"/>
      <c r="K1" s="330"/>
    </row>
    <row r="2" spans="1:13" ht="20.100000000000001" customHeight="1">
      <c r="A2" s="18"/>
      <c r="B2" s="302" t="s">
        <v>643</v>
      </c>
      <c r="C2" s="302"/>
      <c r="D2" s="302" t="s">
        <v>30</v>
      </c>
      <c r="E2" s="302"/>
      <c r="F2" s="302" t="s">
        <v>31</v>
      </c>
      <c r="G2" s="302"/>
      <c r="H2" s="302" t="s">
        <v>32</v>
      </c>
      <c r="I2" s="302"/>
      <c r="J2" s="302" t="s">
        <v>33</v>
      </c>
      <c r="K2" s="302"/>
    </row>
    <row r="3" spans="1:13" s="36" customFormat="1" ht="20.100000000000001" customHeight="1">
      <c r="A3" s="30"/>
      <c r="B3" s="115" t="s">
        <v>177</v>
      </c>
      <c r="C3" s="115" t="s">
        <v>176</v>
      </c>
      <c r="D3" s="115" t="s">
        <v>177</v>
      </c>
      <c r="E3" s="115" t="s">
        <v>176</v>
      </c>
      <c r="F3" s="115" t="s">
        <v>177</v>
      </c>
      <c r="G3" s="115" t="s">
        <v>176</v>
      </c>
      <c r="H3" s="115" t="s">
        <v>177</v>
      </c>
      <c r="I3" s="115" t="s">
        <v>176</v>
      </c>
      <c r="J3" s="115" t="s">
        <v>177</v>
      </c>
      <c r="K3" s="115" t="s">
        <v>5</v>
      </c>
    </row>
    <row r="4" spans="1:13" ht="20.100000000000001" customHeight="1">
      <c r="A4" s="46" t="s">
        <v>209</v>
      </c>
      <c r="B4" s="123">
        <f t="shared" ref="B4:K4" si="0">SUM(B5:B8)</f>
        <v>378</v>
      </c>
      <c r="C4" s="58">
        <f t="shared" si="0"/>
        <v>100</v>
      </c>
      <c r="D4" s="123">
        <f t="shared" si="0"/>
        <v>388</v>
      </c>
      <c r="E4" s="58">
        <f t="shared" si="0"/>
        <v>100</v>
      </c>
      <c r="F4" s="123">
        <f t="shared" si="0"/>
        <v>409</v>
      </c>
      <c r="G4" s="58">
        <f t="shared" si="0"/>
        <v>100</v>
      </c>
      <c r="H4" s="123">
        <f t="shared" si="0"/>
        <v>279</v>
      </c>
      <c r="I4" s="58">
        <f t="shared" si="0"/>
        <v>100</v>
      </c>
      <c r="J4" s="123">
        <f t="shared" si="0"/>
        <v>261</v>
      </c>
      <c r="K4" s="58">
        <f t="shared" si="0"/>
        <v>100</v>
      </c>
    </row>
    <row r="5" spans="1:13" ht="20.100000000000001" customHeight="1">
      <c r="A5" s="46" t="s">
        <v>210</v>
      </c>
      <c r="B5" s="27">
        <v>40</v>
      </c>
      <c r="C5" s="21">
        <f>B5/B$4*100</f>
        <v>10.582010582010582</v>
      </c>
      <c r="D5" s="27">
        <v>29</v>
      </c>
      <c r="E5" s="21">
        <f>D5/D$4*100</f>
        <v>7.4742268041237114</v>
      </c>
      <c r="F5" s="27">
        <v>39</v>
      </c>
      <c r="G5" s="21">
        <f>F5/F$4*100</f>
        <v>9.5354523227383865</v>
      </c>
      <c r="H5" s="27">
        <v>24</v>
      </c>
      <c r="I5" s="21">
        <f>H5/H$4*100</f>
        <v>8.6021505376344098</v>
      </c>
      <c r="J5" s="27">
        <v>14</v>
      </c>
      <c r="K5" s="21">
        <f>J5/J$4*100</f>
        <v>5.3639846743295019</v>
      </c>
    </row>
    <row r="6" spans="1:13" ht="20.100000000000001" customHeight="1">
      <c r="A6" s="46" t="s">
        <v>211</v>
      </c>
      <c r="B6" s="27">
        <v>63</v>
      </c>
      <c r="C6" s="21">
        <f t="shared" ref="C6:E8" si="1">B6/B$4*100</f>
        <v>16.666666666666664</v>
      </c>
      <c r="D6" s="27">
        <v>58</v>
      </c>
      <c r="E6" s="21">
        <f t="shared" si="1"/>
        <v>14.948453608247423</v>
      </c>
      <c r="F6" s="27">
        <v>62</v>
      </c>
      <c r="G6" s="21">
        <f t="shared" ref="G6" si="2">F6/F$4*100</f>
        <v>15.158924205378973</v>
      </c>
      <c r="H6" s="27">
        <v>35</v>
      </c>
      <c r="I6" s="21">
        <f t="shared" ref="I6" si="3">H6/H$4*100</f>
        <v>12.544802867383511</v>
      </c>
      <c r="J6" s="27">
        <v>25</v>
      </c>
      <c r="K6" s="21">
        <f t="shared" ref="K6" si="4">J6/J$4*100</f>
        <v>9.5785440613026829</v>
      </c>
    </row>
    <row r="7" spans="1:13" ht="20.100000000000001" customHeight="1">
      <c r="A7" s="46" t="s">
        <v>212</v>
      </c>
      <c r="B7" s="27">
        <v>104</v>
      </c>
      <c r="C7" s="21">
        <f t="shared" si="1"/>
        <v>27.513227513227513</v>
      </c>
      <c r="D7" s="27">
        <v>102</v>
      </c>
      <c r="E7" s="21">
        <f t="shared" si="1"/>
        <v>26.288659793814436</v>
      </c>
      <c r="F7" s="27">
        <v>120</v>
      </c>
      <c r="G7" s="21">
        <f t="shared" ref="G7" si="5">F7/F$4*100</f>
        <v>29.339853300733498</v>
      </c>
      <c r="H7" s="27">
        <v>68</v>
      </c>
      <c r="I7" s="21">
        <f t="shared" ref="I7" si="6">H7/H$4*100</f>
        <v>24.372759856630825</v>
      </c>
      <c r="J7" s="27">
        <v>63</v>
      </c>
      <c r="K7" s="21">
        <f t="shared" ref="K7" si="7">J7/J$4*100</f>
        <v>24.137931034482758</v>
      </c>
    </row>
    <row r="8" spans="1:13" ht="20.100000000000001" customHeight="1" thickBot="1">
      <c r="A8" s="180" t="s">
        <v>213</v>
      </c>
      <c r="B8" s="125">
        <v>171</v>
      </c>
      <c r="C8" s="37">
        <f t="shared" si="1"/>
        <v>45.238095238095241</v>
      </c>
      <c r="D8" s="125">
        <v>199</v>
      </c>
      <c r="E8" s="37">
        <f t="shared" si="1"/>
        <v>51.288659793814432</v>
      </c>
      <c r="F8" s="125">
        <v>188</v>
      </c>
      <c r="G8" s="37">
        <f t="shared" ref="G8" si="8">F8/F$4*100</f>
        <v>45.965770171149146</v>
      </c>
      <c r="H8" s="125">
        <v>152</v>
      </c>
      <c r="I8" s="37">
        <f t="shared" ref="I8" si="9">H8/H$4*100</f>
        <v>54.480286738351261</v>
      </c>
      <c r="J8" s="125">
        <v>159</v>
      </c>
      <c r="K8" s="37">
        <f t="shared" ref="K8" si="10">J8/J$4*100</f>
        <v>60.919540229885058</v>
      </c>
    </row>
    <row r="9" spans="1:13" ht="20.100000000000001" customHeight="1">
      <c r="A9" s="30"/>
      <c r="B9" s="343" t="s">
        <v>34</v>
      </c>
      <c r="C9" s="343"/>
      <c r="D9" s="343" t="s">
        <v>35</v>
      </c>
      <c r="E9" s="343"/>
      <c r="F9" s="343" t="s">
        <v>36</v>
      </c>
      <c r="G9" s="343"/>
      <c r="H9" s="343" t="s">
        <v>37</v>
      </c>
      <c r="I9" s="343"/>
      <c r="J9" s="343" t="s">
        <v>567</v>
      </c>
      <c r="K9" s="343"/>
    </row>
    <row r="10" spans="1:13" s="36" customFormat="1" ht="20.100000000000001" customHeight="1">
      <c r="B10" s="115" t="s">
        <v>58</v>
      </c>
      <c r="C10" s="115" t="s">
        <v>4</v>
      </c>
      <c r="D10" s="115" t="s">
        <v>58</v>
      </c>
      <c r="E10" s="115" t="s">
        <v>4</v>
      </c>
      <c r="F10" s="115" t="s">
        <v>58</v>
      </c>
      <c r="G10" s="115" t="s">
        <v>4</v>
      </c>
      <c r="H10" s="115" t="s">
        <v>58</v>
      </c>
      <c r="I10" s="115" t="s">
        <v>4</v>
      </c>
      <c r="J10" s="115" t="s">
        <v>58</v>
      </c>
      <c r="K10" s="115" t="s">
        <v>4</v>
      </c>
    </row>
    <row r="11" spans="1:13" ht="20.100000000000001" customHeight="1">
      <c r="A11" s="46" t="s">
        <v>209</v>
      </c>
      <c r="B11" s="123">
        <f t="shared" ref="B11:K11" si="11">SUM(B12:B15)</f>
        <v>293</v>
      </c>
      <c r="C11" s="58">
        <f t="shared" si="11"/>
        <v>100</v>
      </c>
      <c r="D11" s="123">
        <f t="shared" si="11"/>
        <v>325</v>
      </c>
      <c r="E11" s="58">
        <f t="shared" si="11"/>
        <v>100</v>
      </c>
      <c r="F11" s="123">
        <f t="shared" si="11"/>
        <v>236</v>
      </c>
      <c r="G11" s="58">
        <f t="shared" si="11"/>
        <v>100</v>
      </c>
      <c r="H11" s="123">
        <f t="shared" si="11"/>
        <v>301</v>
      </c>
      <c r="I11" s="58">
        <f t="shared" si="11"/>
        <v>100</v>
      </c>
      <c r="J11" s="123">
        <f t="shared" si="11"/>
        <v>350</v>
      </c>
      <c r="K11" s="58">
        <f t="shared" si="11"/>
        <v>100</v>
      </c>
    </row>
    <row r="12" spans="1:13" ht="20.100000000000001" customHeight="1">
      <c r="A12" s="46" t="s">
        <v>214</v>
      </c>
      <c r="B12" s="27">
        <v>13</v>
      </c>
      <c r="C12" s="21">
        <f>B12/B$11*100</f>
        <v>4.4368600682593859</v>
      </c>
      <c r="D12" s="27">
        <v>19</v>
      </c>
      <c r="E12" s="21">
        <f>D12/D$11*100</f>
        <v>5.8461538461538458</v>
      </c>
      <c r="F12" s="27">
        <v>21</v>
      </c>
      <c r="G12" s="21">
        <f>F12/F$11*100</f>
        <v>8.898305084745763</v>
      </c>
      <c r="H12" s="44">
        <f>20+1</f>
        <v>21</v>
      </c>
      <c r="I12" s="21">
        <f>H12/H$11*100</f>
        <v>6.9767441860465116</v>
      </c>
      <c r="J12" s="44">
        <v>39</v>
      </c>
      <c r="K12" s="21">
        <f>J12/J$11*100</f>
        <v>11.142857142857142</v>
      </c>
      <c r="L12" s="59"/>
    </row>
    <row r="13" spans="1:13" ht="20.100000000000001" customHeight="1">
      <c r="A13" s="46" t="s">
        <v>211</v>
      </c>
      <c r="B13" s="27">
        <v>37</v>
      </c>
      <c r="C13" s="21">
        <f>B13/B$11*100</f>
        <v>12.627986348122866</v>
      </c>
      <c r="D13" s="27">
        <v>54</v>
      </c>
      <c r="E13" s="21">
        <f>D13/D$11*100</f>
        <v>16.615384615384617</v>
      </c>
      <c r="F13" s="27">
        <v>31</v>
      </c>
      <c r="G13" s="21">
        <f>F13/F$11*100</f>
        <v>13.135593220338984</v>
      </c>
      <c r="H13" s="44">
        <f>48+4</f>
        <v>52</v>
      </c>
      <c r="I13" s="21">
        <f>H13/H$11*100</f>
        <v>17.275747508305646</v>
      </c>
      <c r="J13" s="44">
        <v>71</v>
      </c>
      <c r="K13" s="21">
        <f>J13/J$11*100</f>
        <v>20.285714285714285</v>
      </c>
    </row>
    <row r="14" spans="1:13" ht="20.100000000000001" customHeight="1">
      <c r="A14" s="46" t="s">
        <v>215</v>
      </c>
      <c r="B14" s="27">
        <v>85</v>
      </c>
      <c r="C14" s="21">
        <f>B14/B$11*100</f>
        <v>29.010238907849828</v>
      </c>
      <c r="D14" s="27">
        <v>95</v>
      </c>
      <c r="E14" s="21">
        <f>D14/D$11*100</f>
        <v>29.230769230769234</v>
      </c>
      <c r="F14" s="27">
        <v>65</v>
      </c>
      <c r="G14" s="21">
        <f>F14/F$11*100</f>
        <v>27.542372881355931</v>
      </c>
      <c r="H14" s="44">
        <f>62+2</f>
        <v>64</v>
      </c>
      <c r="I14" s="21">
        <f>H14/H$11*100</f>
        <v>21.262458471760798</v>
      </c>
      <c r="J14" s="44">
        <v>108</v>
      </c>
      <c r="K14" s="21">
        <f>J14/J$11*100</f>
        <v>30.857142857142854</v>
      </c>
    </row>
    <row r="15" spans="1:13" ht="20.100000000000001" customHeight="1">
      <c r="A15" s="113" t="s">
        <v>213</v>
      </c>
      <c r="B15" s="28">
        <v>158</v>
      </c>
      <c r="C15" s="22">
        <f>B15/B$11*100</f>
        <v>53.924914675767923</v>
      </c>
      <c r="D15" s="28">
        <v>157</v>
      </c>
      <c r="E15" s="22">
        <f>D15/D$11*100</f>
        <v>48.307692307692307</v>
      </c>
      <c r="F15" s="28">
        <v>119</v>
      </c>
      <c r="G15" s="22">
        <f>F15/F$11*100</f>
        <v>50.423728813559322</v>
      </c>
      <c r="H15" s="69">
        <f>154+10</f>
        <v>164</v>
      </c>
      <c r="I15" s="22">
        <f>H15/H$11*100</f>
        <v>54.485049833887047</v>
      </c>
      <c r="J15" s="69">
        <v>132</v>
      </c>
      <c r="K15" s="22">
        <f>J15/J$11*100</f>
        <v>37.714285714285715</v>
      </c>
    </row>
    <row r="16" spans="1:13" s="1" customFormat="1" ht="15.75">
      <c r="A16" s="14" t="s">
        <v>412</v>
      </c>
      <c r="B16" s="14"/>
      <c r="H16" s="48"/>
      <c r="I16" s="49"/>
      <c r="K16" s="49"/>
      <c r="M16" s="48"/>
    </row>
    <row r="17" spans="1:6" ht="15.75">
      <c r="A17" s="339" t="s">
        <v>414</v>
      </c>
      <c r="B17" s="339"/>
      <c r="C17" s="339"/>
      <c r="D17" s="339"/>
      <c r="E17" s="339"/>
      <c r="F17" s="339"/>
    </row>
    <row r="18" spans="1:6" ht="20.100000000000001" customHeight="1">
      <c r="C18" s="29"/>
    </row>
  </sheetData>
  <mergeCells count="12">
    <mergeCell ref="A17:F17"/>
    <mergeCell ref="A1:K1"/>
    <mergeCell ref="B2:C2"/>
    <mergeCell ref="D2:E2"/>
    <mergeCell ref="F2:G2"/>
    <mergeCell ref="H2:I2"/>
    <mergeCell ref="J2:K2"/>
    <mergeCell ref="B9:C9"/>
    <mergeCell ref="D9:E9"/>
    <mergeCell ref="F9:G9"/>
    <mergeCell ref="H9:I9"/>
    <mergeCell ref="J9:K9"/>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79"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X23"/>
  <sheetViews>
    <sheetView showGridLines="0" showRuler="0" zoomScaleNormal="100" zoomScalePageLayoutView="125" workbookViewId="0">
      <selection activeCell="F17" sqref="F17"/>
    </sheetView>
  </sheetViews>
  <sheetFormatPr defaultColWidth="9" defaultRowHeight="15.75"/>
  <cols>
    <col min="1" max="1" width="22.625" style="17" bestFit="1" customWidth="1"/>
    <col min="2" max="3" width="9" style="17" customWidth="1"/>
    <col min="4" max="5" width="9.375" style="17" customWidth="1"/>
    <col min="6" max="9" width="9.125" style="17" customWidth="1"/>
    <col min="10" max="11" width="9.375" style="17" customWidth="1"/>
    <col min="12" max="16384" width="9" style="17"/>
  </cols>
  <sheetData>
    <row r="1" spans="1:24" ht="20.25">
      <c r="A1" s="297" t="s">
        <v>644</v>
      </c>
      <c r="B1" s="297"/>
      <c r="C1" s="297"/>
      <c r="D1" s="297"/>
      <c r="E1" s="297"/>
      <c r="F1" s="297"/>
      <c r="G1" s="297"/>
      <c r="H1" s="297"/>
      <c r="I1" s="297"/>
      <c r="J1" s="297"/>
      <c r="K1" s="297"/>
      <c r="L1" s="62"/>
    </row>
    <row r="2" spans="1:24" s="36" customFormat="1" ht="19.350000000000001" customHeight="1">
      <c r="A2" s="378"/>
      <c r="B2" s="387" t="s">
        <v>413</v>
      </c>
      <c r="C2" s="302"/>
      <c r="D2" s="388" t="s">
        <v>216</v>
      </c>
      <c r="E2" s="388"/>
      <c r="F2" s="388" t="s">
        <v>132</v>
      </c>
      <c r="G2" s="388"/>
      <c r="H2" s="388" t="s">
        <v>217</v>
      </c>
      <c r="I2" s="388"/>
      <c r="J2" s="388" t="s">
        <v>218</v>
      </c>
      <c r="K2" s="388"/>
    </row>
    <row r="3" spans="1:24" s="36" customFormat="1" ht="19.350000000000001" customHeight="1">
      <c r="A3" s="342"/>
      <c r="B3" s="115" t="s">
        <v>177</v>
      </c>
      <c r="C3" s="115" t="s">
        <v>123</v>
      </c>
      <c r="D3" s="115" t="s">
        <v>135</v>
      </c>
      <c r="E3" s="115" t="s">
        <v>176</v>
      </c>
      <c r="F3" s="115" t="s">
        <v>219</v>
      </c>
      <c r="G3" s="115" t="s">
        <v>176</v>
      </c>
      <c r="H3" s="115" t="s">
        <v>177</v>
      </c>
      <c r="I3" s="115" t="s">
        <v>176</v>
      </c>
      <c r="J3" s="115" t="s">
        <v>135</v>
      </c>
      <c r="K3" s="115" t="s">
        <v>123</v>
      </c>
    </row>
    <row r="4" spans="1:24" ht="19.350000000000001" customHeight="1">
      <c r="A4" s="17" t="s">
        <v>178</v>
      </c>
      <c r="B4" s="76">
        <f>SUM(D4,F4,H4,J4)</f>
        <v>350</v>
      </c>
      <c r="C4" s="43">
        <f>SUM(B5,B6)/B$4*100</f>
        <v>100</v>
      </c>
      <c r="D4" s="76">
        <f>SUM(D5,D6)</f>
        <v>39</v>
      </c>
      <c r="E4" s="43">
        <f>SUM(D7:D21)/D$4*100</f>
        <v>100</v>
      </c>
      <c r="F4" s="76">
        <f>SUM(F5,F6)</f>
        <v>71</v>
      </c>
      <c r="G4" s="43">
        <f>SUM(F7:F21)/F$4*100</f>
        <v>100</v>
      </c>
      <c r="H4" s="76">
        <f>SUM(H5,H6)</f>
        <v>108</v>
      </c>
      <c r="I4" s="43">
        <f>SUM(H7:H21)/H$4*100</f>
        <v>100</v>
      </c>
      <c r="J4" s="76">
        <f>SUM(J5,J6)</f>
        <v>132</v>
      </c>
      <c r="K4" s="43">
        <f>SUM(J7:J21)/J$4*100</f>
        <v>100</v>
      </c>
    </row>
    <row r="5" spans="1:24" ht="19.350000000000001" customHeight="1">
      <c r="A5" s="23" t="s">
        <v>220</v>
      </c>
      <c r="B5" s="27">
        <v>325</v>
      </c>
      <c r="C5" s="45">
        <f>IFERROR(B5/B$4*100,"-")</f>
        <v>92.857142857142861</v>
      </c>
      <c r="D5" s="27">
        <v>35</v>
      </c>
      <c r="E5" s="45">
        <f>IFERROR(D5/D$4*100,"-")</f>
        <v>89.743589743589752</v>
      </c>
      <c r="F5" s="27">
        <v>64</v>
      </c>
      <c r="G5" s="45">
        <f>IFERROR(F5/F$4*100,"-")</f>
        <v>90.140845070422543</v>
      </c>
      <c r="H5" s="27">
        <v>103</v>
      </c>
      <c r="I5" s="45">
        <f>IFERROR(H5/H$4*100,"-")</f>
        <v>95.370370370370367</v>
      </c>
      <c r="J5" s="27">
        <v>123</v>
      </c>
      <c r="K5" s="45">
        <f>IFERROR(J5/J$4*100,"-")</f>
        <v>93.181818181818173</v>
      </c>
    </row>
    <row r="6" spans="1:24" ht="19.350000000000001" customHeight="1">
      <c r="A6" s="120" t="s">
        <v>221</v>
      </c>
      <c r="B6" s="28">
        <v>25</v>
      </c>
      <c r="C6" s="47">
        <f t="shared" ref="C6:E21" si="0">IFERROR(B6/B$4*100,"-")</f>
        <v>7.1428571428571423</v>
      </c>
      <c r="D6" s="28">
        <v>4</v>
      </c>
      <c r="E6" s="47">
        <f t="shared" si="0"/>
        <v>10.256410256410255</v>
      </c>
      <c r="F6" s="28">
        <v>7</v>
      </c>
      <c r="G6" s="47">
        <f t="shared" ref="G6" si="1">IFERROR(F6/F$4*100,"-")</f>
        <v>9.8591549295774641</v>
      </c>
      <c r="H6" s="28">
        <v>5</v>
      </c>
      <c r="I6" s="47">
        <f t="shared" ref="I6" si="2">IFERROR(H6/H$4*100,"-")</f>
        <v>4.6296296296296298</v>
      </c>
      <c r="J6" s="28">
        <v>9</v>
      </c>
      <c r="K6" s="47">
        <f t="shared" ref="K6" si="3">IFERROR(J6/J$4*100,"-")</f>
        <v>6.8181818181818175</v>
      </c>
    </row>
    <row r="7" spans="1:24" ht="19.350000000000001" customHeight="1">
      <c r="A7" s="46" t="s">
        <v>452</v>
      </c>
      <c r="B7" s="27">
        <v>211</v>
      </c>
      <c r="C7" s="21">
        <f t="shared" si="0"/>
        <v>60.285714285714285</v>
      </c>
      <c r="D7" s="27">
        <v>13</v>
      </c>
      <c r="E7" s="21">
        <f t="shared" si="0"/>
        <v>33.333333333333329</v>
      </c>
      <c r="F7" s="27">
        <v>37</v>
      </c>
      <c r="G7" s="21">
        <f t="shared" ref="G7" si="4">IFERROR(F7/F$4*100,"-")</f>
        <v>52.112676056338024</v>
      </c>
      <c r="H7" s="27">
        <v>73</v>
      </c>
      <c r="I7" s="21">
        <f t="shared" ref="I7" si="5">IFERROR(H7/H$4*100,"-")</f>
        <v>67.592592592592595</v>
      </c>
      <c r="J7" s="27">
        <v>88</v>
      </c>
      <c r="K7" s="21">
        <f t="shared" ref="K7" si="6">IFERROR(J7/J$4*100,"-")</f>
        <v>66.666666666666657</v>
      </c>
      <c r="L7" s="59"/>
    </row>
    <row r="8" spans="1:24" ht="19.350000000000001" customHeight="1">
      <c r="A8" s="46" t="s">
        <v>453</v>
      </c>
      <c r="B8" s="27">
        <v>42</v>
      </c>
      <c r="C8" s="21">
        <f t="shared" si="0"/>
        <v>12</v>
      </c>
      <c r="D8" s="27">
        <v>15</v>
      </c>
      <c r="E8" s="21">
        <f t="shared" si="0"/>
        <v>38.461538461538467</v>
      </c>
      <c r="F8" s="27">
        <v>10</v>
      </c>
      <c r="G8" s="21">
        <f t="shared" ref="G8" si="7">IFERROR(F8/F$4*100,"-")</f>
        <v>14.084507042253522</v>
      </c>
      <c r="H8" s="27">
        <v>5</v>
      </c>
      <c r="I8" s="21">
        <f t="shared" ref="I8" si="8">IFERROR(H8/H$4*100,"-")</f>
        <v>4.6296296296296298</v>
      </c>
      <c r="J8" s="27">
        <v>12</v>
      </c>
      <c r="K8" s="21">
        <f t="shared" ref="K8" si="9">IFERROR(J8/J$4*100,"-")</f>
        <v>9.0909090909090917</v>
      </c>
    </row>
    <row r="9" spans="1:24" ht="19.350000000000001" customHeight="1">
      <c r="A9" s="46" t="s">
        <v>645</v>
      </c>
      <c r="B9" s="27">
        <v>22</v>
      </c>
      <c r="C9" s="21">
        <f t="shared" si="0"/>
        <v>6.2857142857142865</v>
      </c>
      <c r="D9" s="27">
        <v>3</v>
      </c>
      <c r="E9" s="21">
        <f t="shared" si="0"/>
        <v>7.6923076923076925</v>
      </c>
      <c r="F9" s="27">
        <v>4</v>
      </c>
      <c r="G9" s="21">
        <f t="shared" ref="G9" si="10">IFERROR(F9/F$4*100,"-")</f>
        <v>5.6338028169014089</v>
      </c>
      <c r="H9" s="27">
        <v>12</v>
      </c>
      <c r="I9" s="21">
        <f t="shared" ref="I9" si="11">IFERROR(H9/H$4*100,"-")</f>
        <v>11.111111111111111</v>
      </c>
      <c r="J9" s="27">
        <v>3</v>
      </c>
      <c r="K9" s="21">
        <f t="shared" ref="K9" si="12">IFERROR(J9/J$4*100,"-")</f>
        <v>2.2727272727272729</v>
      </c>
    </row>
    <row r="10" spans="1:24" ht="19.350000000000001" customHeight="1">
      <c r="A10" s="46" t="s">
        <v>586</v>
      </c>
      <c r="B10" s="27">
        <v>14</v>
      </c>
      <c r="C10" s="21">
        <f t="shared" si="0"/>
        <v>4</v>
      </c>
      <c r="D10" s="27">
        <v>1</v>
      </c>
      <c r="E10" s="21">
        <f t="shared" si="0"/>
        <v>2.5641025641025639</v>
      </c>
      <c r="F10" s="27">
        <v>5</v>
      </c>
      <c r="G10" s="21">
        <f t="shared" ref="G10" si="13">IFERROR(F10/F$4*100,"-")</f>
        <v>7.042253521126761</v>
      </c>
      <c r="H10" s="27">
        <v>5</v>
      </c>
      <c r="I10" s="21">
        <f t="shared" ref="I10" si="14">IFERROR(H10/H$4*100,"-")</f>
        <v>4.6296296296296298</v>
      </c>
      <c r="J10" s="27">
        <v>3</v>
      </c>
      <c r="K10" s="21">
        <f t="shared" ref="K10" si="15">IFERROR(J10/J$4*100,"-")</f>
        <v>2.2727272727272729</v>
      </c>
    </row>
    <row r="11" spans="1:24" ht="19.350000000000001" customHeight="1">
      <c r="A11" s="46" t="s">
        <v>594</v>
      </c>
      <c r="B11" s="27">
        <v>14</v>
      </c>
      <c r="C11" s="21">
        <f t="shared" si="0"/>
        <v>4</v>
      </c>
      <c r="D11" s="27">
        <v>3</v>
      </c>
      <c r="E11" s="21">
        <f t="shared" si="0"/>
        <v>7.6923076923076925</v>
      </c>
      <c r="F11" s="27">
        <v>2</v>
      </c>
      <c r="G11" s="21">
        <f t="shared" ref="G11" si="16">IFERROR(F11/F$4*100,"-")</f>
        <v>2.8169014084507045</v>
      </c>
      <c r="H11" s="27">
        <v>5</v>
      </c>
      <c r="I11" s="21">
        <f t="shared" ref="I11" si="17">IFERROR(H11/H$4*100,"-")</f>
        <v>4.6296296296296298</v>
      </c>
      <c r="J11" s="27">
        <v>4</v>
      </c>
      <c r="K11" s="21">
        <f t="shared" ref="K11" si="18">IFERROR(J11/J$4*100,"-")</f>
        <v>3.0303030303030303</v>
      </c>
    </row>
    <row r="12" spans="1:24" ht="19.350000000000001" customHeight="1">
      <c r="A12" s="179" t="s">
        <v>592</v>
      </c>
      <c r="B12" s="27">
        <v>13</v>
      </c>
      <c r="C12" s="21">
        <f t="shared" si="0"/>
        <v>3.7142857142857144</v>
      </c>
      <c r="D12" s="27">
        <v>1</v>
      </c>
      <c r="E12" s="21">
        <f t="shared" si="0"/>
        <v>2.5641025641025639</v>
      </c>
      <c r="F12" s="27">
        <v>4</v>
      </c>
      <c r="G12" s="21">
        <f t="shared" ref="G12" si="19">IFERROR(F12/F$4*100,"-")</f>
        <v>5.6338028169014089</v>
      </c>
      <c r="H12" s="27">
        <v>1</v>
      </c>
      <c r="I12" s="21">
        <f t="shared" ref="I12" si="20">IFERROR(H12/H$4*100,"-")</f>
        <v>0.92592592592592582</v>
      </c>
      <c r="J12" s="27">
        <v>7</v>
      </c>
      <c r="K12" s="21">
        <f t="shared" ref="K12" si="21">IFERROR(J12/J$4*100,"-")</f>
        <v>5.3030303030303028</v>
      </c>
    </row>
    <row r="13" spans="1:24" ht="19.350000000000001" customHeight="1">
      <c r="A13" s="46" t="s">
        <v>587</v>
      </c>
      <c r="B13" s="27">
        <v>13</v>
      </c>
      <c r="C13" s="21">
        <f t="shared" si="0"/>
        <v>3.7142857142857144</v>
      </c>
      <c r="D13" s="27">
        <v>1</v>
      </c>
      <c r="E13" s="21">
        <f t="shared" si="0"/>
        <v>2.5641025641025639</v>
      </c>
      <c r="F13" s="27" t="s">
        <v>9</v>
      </c>
      <c r="G13" s="21" t="str">
        <f t="shared" ref="G13" si="22">IFERROR(F13/F$4*100,"-")</f>
        <v>-</v>
      </c>
      <c r="H13" s="27">
        <v>5</v>
      </c>
      <c r="I13" s="21">
        <f t="shared" ref="I13" si="23">IFERROR(H13/H$4*100,"-")</f>
        <v>4.6296296296296298</v>
      </c>
      <c r="J13" s="27">
        <v>7</v>
      </c>
      <c r="K13" s="21">
        <f t="shared" ref="K13" si="24">IFERROR(J13/J$4*100,"-")</f>
        <v>5.3030303030303028</v>
      </c>
      <c r="N13" s="372"/>
      <c r="O13" s="372"/>
      <c r="P13" s="372"/>
      <c r="Q13" s="372"/>
      <c r="R13" s="372"/>
      <c r="S13" s="372"/>
      <c r="T13" s="372"/>
      <c r="U13" s="372"/>
      <c r="V13" s="372"/>
      <c r="W13" s="372"/>
      <c r="X13" s="372"/>
    </row>
    <row r="14" spans="1:24" ht="19.350000000000001" customHeight="1">
      <c r="A14" s="46" t="s">
        <v>589</v>
      </c>
      <c r="B14" s="27">
        <v>6</v>
      </c>
      <c r="C14" s="21">
        <f t="shared" si="0"/>
        <v>1.7142857142857144</v>
      </c>
      <c r="D14" s="27" t="s">
        <v>9</v>
      </c>
      <c r="E14" s="21" t="str">
        <f t="shared" si="0"/>
        <v>-</v>
      </c>
      <c r="F14" s="27">
        <v>2</v>
      </c>
      <c r="G14" s="21">
        <f t="shared" ref="G14" si="25">IFERROR(F14/F$4*100,"-")</f>
        <v>2.8169014084507045</v>
      </c>
      <c r="H14" s="27">
        <v>1</v>
      </c>
      <c r="I14" s="21">
        <f t="shared" ref="I14" si="26">IFERROR(H14/H$4*100,"-")</f>
        <v>0.92592592592592582</v>
      </c>
      <c r="J14" s="27">
        <v>3</v>
      </c>
      <c r="K14" s="21">
        <f t="shared" ref="K14" si="27">IFERROR(J14/J$4*100,"-")</f>
        <v>2.2727272727272729</v>
      </c>
    </row>
    <row r="15" spans="1:24" ht="19.350000000000001" customHeight="1">
      <c r="A15" s="46" t="s">
        <v>588</v>
      </c>
      <c r="B15" s="27">
        <v>4</v>
      </c>
      <c r="C15" s="21">
        <f t="shared" si="0"/>
        <v>1.1428571428571428</v>
      </c>
      <c r="D15" s="27">
        <v>1</v>
      </c>
      <c r="E15" s="21">
        <f t="shared" si="0"/>
        <v>2.5641025641025639</v>
      </c>
      <c r="F15" s="27">
        <v>2</v>
      </c>
      <c r="G15" s="21">
        <f t="shared" ref="G15" si="28">IFERROR(F15/F$4*100,"-")</f>
        <v>2.8169014084507045</v>
      </c>
      <c r="H15" s="27" t="s">
        <v>9</v>
      </c>
      <c r="I15" s="21" t="str">
        <f t="shared" ref="I15" si="29">IFERROR(H15/H$4*100,"-")</f>
        <v>-</v>
      </c>
      <c r="J15" s="27">
        <v>1</v>
      </c>
      <c r="K15" s="21">
        <f t="shared" ref="K15" si="30">IFERROR(J15/J$4*100,"-")</f>
        <v>0.75757575757575757</v>
      </c>
    </row>
    <row r="16" spans="1:24" ht="19.350000000000001" customHeight="1">
      <c r="A16" s="46" t="s">
        <v>465</v>
      </c>
      <c r="B16" s="27">
        <v>4</v>
      </c>
      <c r="C16" s="21">
        <f t="shared" si="0"/>
        <v>1.1428571428571428</v>
      </c>
      <c r="D16" s="27" t="s">
        <v>9</v>
      </c>
      <c r="E16" s="21" t="str">
        <f t="shared" si="0"/>
        <v>-</v>
      </c>
      <c r="F16" s="27">
        <v>1</v>
      </c>
      <c r="G16" s="21">
        <f t="shared" ref="G16" si="31">IFERROR(F16/F$4*100,"-")</f>
        <v>1.4084507042253522</v>
      </c>
      <c r="H16" s="27">
        <v>1</v>
      </c>
      <c r="I16" s="21">
        <f t="shared" ref="I16" si="32">IFERROR(H16/H$4*100,"-")</f>
        <v>0.92592592592592582</v>
      </c>
      <c r="J16" s="27">
        <v>2</v>
      </c>
      <c r="K16" s="21">
        <f t="shared" ref="K16" si="33">IFERROR(J16/J$4*100,"-")</f>
        <v>1.5151515151515151</v>
      </c>
    </row>
    <row r="17" spans="1:15" ht="19.350000000000001" customHeight="1">
      <c r="A17" s="46" t="s">
        <v>591</v>
      </c>
      <c r="B17" s="27">
        <v>3</v>
      </c>
      <c r="C17" s="21">
        <f t="shared" si="0"/>
        <v>0.85714285714285721</v>
      </c>
      <c r="D17" s="27" t="s">
        <v>9</v>
      </c>
      <c r="E17" s="21" t="str">
        <f t="shared" si="0"/>
        <v>-</v>
      </c>
      <c r="F17" s="27">
        <v>2</v>
      </c>
      <c r="G17" s="21">
        <f t="shared" ref="G17" si="34">IFERROR(F17/F$4*100,"-")</f>
        <v>2.8169014084507045</v>
      </c>
      <c r="H17" s="27" t="s">
        <v>9</v>
      </c>
      <c r="I17" s="21" t="str">
        <f t="shared" ref="I17" si="35">IFERROR(H17/H$4*100,"-")</f>
        <v>-</v>
      </c>
      <c r="J17" s="27">
        <v>1</v>
      </c>
      <c r="K17" s="21">
        <f t="shared" ref="K17" si="36">IFERROR(J17/J$4*100,"-")</f>
        <v>0.75757575757575757</v>
      </c>
    </row>
    <row r="18" spans="1:15" ht="17.25" customHeight="1">
      <c r="A18" s="46" t="s">
        <v>595</v>
      </c>
      <c r="B18" s="27">
        <v>1</v>
      </c>
      <c r="C18" s="21">
        <f t="shared" si="0"/>
        <v>0.2857142857142857</v>
      </c>
      <c r="D18" s="27" t="s">
        <v>9</v>
      </c>
      <c r="E18" s="21" t="str">
        <f t="shared" si="0"/>
        <v>-</v>
      </c>
      <c r="F18" s="27" t="s">
        <v>9</v>
      </c>
      <c r="G18" s="21" t="str">
        <f t="shared" ref="G18" si="37">IFERROR(F18/F$4*100,"-")</f>
        <v>-</v>
      </c>
      <c r="H18" s="27" t="s">
        <v>9</v>
      </c>
      <c r="I18" s="21" t="str">
        <f t="shared" ref="I18" si="38">IFERROR(H18/H$4*100,"-")</f>
        <v>-</v>
      </c>
      <c r="J18" s="27">
        <v>1</v>
      </c>
      <c r="K18" s="21">
        <f t="shared" ref="K18" si="39">IFERROR(J18/J$4*100,"-")</f>
        <v>0.75757575757575757</v>
      </c>
    </row>
    <row r="19" spans="1:15" ht="17.25" customHeight="1">
      <c r="A19" s="186" t="s">
        <v>590</v>
      </c>
      <c r="B19" s="27">
        <v>1</v>
      </c>
      <c r="C19" s="21">
        <f t="shared" si="0"/>
        <v>0.2857142857142857</v>
      </c>
      <c r="D19" s="27" t="s">
        <v>9</v>
      </c>
      <c r="E19" s="21" t="str">
        <f t="shared" si="0"/>
        <v>-</v>
      </c>
      <c r="F19" s="27">
        <v>1</v>
      </c>
      <c r="G19" s="21">
        <f t="shared" ref="G19" si="40">IFERROR(F19/F$4*100,"-")</f>
        <v>1.4084507042253522</v>
      </c>
      <c r="H19" s="27" t="s">
        <v>9</v>
      </c>
      <c r="I19" s="21" t="str">
        <f t="shared" ref="I19" si="41">IFERROR(H19/H$4*100,"-")</f>
        <v>-</v>
      </c>
      <c r="J19" s="27" t="s">
        <v>9</v>
      </c>
      <c r="K19" s="21" t="str">
        <f t="shared" ref="K19" si="42">IFERROR(J19/J$4*100,"-")</f>
        <v>-</v>
      </c>
      <c r="L19" s="63"/>
    </row>
    <row r="20" spans="1:15" ht="17.25" customHeight="1">
      <c r="A20" s="186" t="s">
        <v>593</v>
      </c>
      <c r="B20" s="27">
        <v>1</v>
      </c>
      <c r="C20" s="21">
        <f t="shared" si="0"/>
        <v>0.2857142857142857</v>
      </c>
      <c r="D20" s="27">
        <v>1</v>
      </c>
      <c r="E20" s="21">
        <f t="shared" si="0"/>
        <v>2.5641025641025639</v>
      </c>
      <c r="F20" s="27" t="s">
        <v>9</v>
      </c>
      <c r="G20" s="21" t="str">
        <f t="shared" ref="G20" si="43">IFERROR(F20/F$4*100,"-")</f>
        <v>-</v>
      </c>
      <c r="H20" s="27" t="s">
        <v>9</v>
      </c>
      <c r="I20" s="21" t="str">
        <f t="shared" ref="I20" si="44">IFERROR(H20/H$4*100,"-")</f>
        <v>-</v>
      </c>
      <c r="J20" s="27" t="s">
        <v>9</v>
      </c>
      <c r="K20" s="21" t="str">
        <f t="shared" ref="K20" si="45">IFERROR(J20/J$4*100,"-")</f>
        <v>-</v>
      </c>
    </row>
    <row r="21" spans="1:15" ht="17.25" customHeight="1">
      <c r="A21" s="113" t="s">
        <v>490</v>
      </c>
      <c r="B21" s="28">
        <v>1</v>
      </c>
      <c r="C21" s="22">
        <f t="shared" si="0"/>
        <v>0.2857142857142857</v>
      </c>
      <c r="D21" s="28" t="s">
        <v>9</v>
      </c>
      <c r="E21" s="22" t="str">
        <f t="shared" si="0"/>
        <v>-</v>
      </c>
      <c r="F21" s="28">
        <v>1</v>
      </c>
      <c r="G21" s="22">
        <f t="shared" ref="G21" si="46">IFERROR(F21/F$4*100,"-")</f>
        <v>1.4084507042253522</v>
      </c>
      <c r="H21" s="28" t="s">
        <v>9</v>
      </c>
      <c r="I21" s="22" t="str">
        <f t="shared" ref="I21" si="47">IFERROR(H21/H$4*100,"-")</f>
        <v>-</v>
      </c>
      <c r="J21" s="28" t="s">
        <v>9</v>
      </c>
      <c r="K21" s="22" t="str">
        <f t="shared" ref="K21" si="48">IFERROR(J21/J$4*100,"-")</f>
        <v>-</v>
      </c>
      <c r="L21" s="63"/>
    </row>
    <row r="22" spans="1:15">
      <c r="A22" s="372" t="s">
        <v>412</v>
      </c>
      <c r="B22" s="372"/>
      <c r="C22" s="354"/>
      <c r="D22" s="372"/>
      <c r="E22" s="372"/>
      <c r="F22" s="372"/>
      <c r="G22" s="372"/>
      <c r="H22" s="372"/>
      <c r="I22" s="372"/>
      <c r="J22" s="372"/>
      <c r="K22" s="372"/>
      <c r="L22" s="35"/>
      <c r="M22" s="35"/>
      <c r="N22" s="35"/>
      <c r="O22" s="35"/>
    </row>
    <row r="23" spans="1:15">
      <c r="A23" s="339" t="s">
        <v>414</v>
      </c>
      <c r="B23" s="339"/>
      <c r="C23" s="339"/>
      <c r="D23" s="339"/>
      <c r="E23" s="339"/>
      <c r="F23" s="339"/>
    </row>
  </sheetData>
  <mergeCells count="10">
    <mergeCell ref="N13:X13"/>
    <mergeCell ref="A22:K22"/>
    <mergeCell ref="A23:F23"/>
    <mergeCell ref="A1:K1"/>
    <mergeCell ref="A2:A3"/>
    <mergeCell ref="B2:C2"/>
    <mergeCell ref="D2:E2"/>
    <mergeCell ref="F2:G2"/>
    <mergeCell ref="H2:I2"/>
    <mergeCell ref="J2:K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75"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26"/>
  <sheetViews>
    <sheetView showGridLines="0" showRuler="0" zoomScale="90" zoomScaleNormal="90" zoomScalePageLayoutView="125" workbookViewId="0">
      <pane xSplit="1" topLeftCell="B1" activePane="topRight" state="frozen"/>
      <selection activeCell="F17" sqref="F17"/>
      <selection pane="topRight" activeCell="K31" sqref="K31"/>
    </sheetView>
  </sheetViews>
  <sheetFormatPr defaultColWidth="9" defaultRowHeight="20.100000000000001" customHeight="1"/>
  <cols>
    <col min="1" max="1" width="26.875" style="17" customWidth="1"/>
    <col min="2" max="11" width="8.625" style="17" customWidth="1"/>
    <col min="12" max="16384" width="9" style="17"/>
  </cols>
  <sheetData>
    <row r="1" spans="1:13" ht="21.75" customHeight="1">
      <c r="A1" s="329" t="s">
        <v>506</v>
      </c>
      <c r="B1" s="329"/>
      <c r="C1" s="329"/>
      <c r="D1" s="329"/>
      <c r="E1" s="329"/>
      <c r="F1" s="329"/>
      <c r="G1" s="329"/>
      <c r="H1" s="329"/>
      <c r="I1" s="329"/>
      <c r="J1" s="329"/>
      <c r="K1" s="329"/>
      <c r="L1" s="61"/>
      <c r="M1" s="61"/>
    </row>
    <row r="2" spans="1:13" ht="20.100000000000001" customHeight="1">
      <c r="A2" s="64"/>
      <c r="B2" s="302" t="s">
        <v>29</v>
      </c>
      <c r="C2" s="302"/>
      <c r="D2" s="302" t="s">
        <v>30</v>
      </c>
      <c r="E2" s="302"/>
      <c r="F2" s="302" t="s">
        <v>31</v>
      </c>
      <c r="G2" s="302"/>
      <c r="H2" s="302" t="s">
        <v>32</v>
      </c>
      <c r="I2" s="302"/>
      <c r="J2" s="302" t="s">
        <v>184</v>
      </c>
      <c r="K2" s="302"/>
    </row>
    <row r="3" spans="1:13" ht="20.100000000000001" customHeight="1">
      <c r="A3" s="36"/>
      <c r="B3" s="115" t="s">
        <v>121</v>
      </c>
      <c r="C3" s="115" t="s">
        <v>122</v>
      </c>
      <c r="D3" s="115" t="s">
        <v>121</v>
      </c>
      <c r="E3" s="115" t="s">
        <v>122</v>
      </c>
      <c r="F3" s="115" t="s">
        <v>121</v>
      </c>
      <c r="G3" s="115" t="s">
        <v>122</v>
      </c>
      <c r="H3" s="115" t="s">
        <v>121</v>
      </c>
      <c r="I3" s="115" t="s">
        <v>122</v>
      </c>
      <c r="J3" s="115" t="s">
        <v>121</v>
      </c>
      <c r="K3" s="115" t="s">
        <v>122</v>
      </c>
    </row>
    <row r="4" spans="1:13" ht="20.100000000000001" customHeight="1">
      <c r="A4" s="46" t="s">
        <v>178</v>
      </c>
      <c r="B4" s="127">
        <f t="shared" ref="B4:I4" si="0">SUM(B5:B12)</f>
        <v>378</v>
      </c>
      <c r="C4" s="66">
        <f t="shared" si="0"/>
        <v>100</v>
      </c>
      <c r="D4" s="127">
        <f t="shared" si="0"/>
        <v>388</v>
      </c>
      <c r="E4" s="66">
        <f t="shared" si="0"/>
        <v>100</v>
      </c>
      <c r="F4" s="127">
        <f t="shared" si="0"/>
        <v>409</v>
      </c>
      <c r="G4" s="66">
        <f t="shared" si="0"/>
        <v>100</v>
      </c>
      <c r="H4" s="127">
        <f t="shared" si="0"/>
        <v>279</v>
      </c>
      <c r="I4" s="66">
        <f t="shared" si="0"/>
        <v>100</v>
      </c>
      <c r="J4" s="127">
        <f t="shared" ref="J4:K4" si="1">SUM(J5:J12)</f>
        <v>261</v>
      </c>
      <c r="K4" s="65">
        <f t="shared" si="1"/>
        <v>100</v>
      </c>
    </row>
    <row r="5" spans="1:13" ht="20.100000000000001" customHeight="1">
      <c r="A5" s="46" t="s">
        <v>812</v>
      </c>
      <c r="B5" s="127">
        <v>211</v>
      </c>
      <c r="C5" s="66">
        <f>IFERROR(B5/B$4*100,"-")</f>
        <v>55.820105820105823</v>
      </c>
      <c r="D5" s="127">
        <v>224</v>
      </c>
      <c r="E5" s="66">
        <f>IFERROR(D5/D$4*100,"-")</f>
        <v>57.731958762886592</v>
      </c>
      <c r="F5" s="127">
        <v>242</v>
      </c>
      <c r="G5" s="66">
        <f>IFERROR(F5/F$4*100,"-")</f>
        <v>59.168704156479215</v>
      </c>
      <c r="H5" s="127">
        <v>167</v>
      </c>
      <c r="I5" s="66">
        <f>IFERROR(H5/H$4*100,"-")</f>
        <v>59.856630824372758</v>
      </c>
      <c r="J5" s="127">
        <v>176</v>
      </c>
      <c r="K5" s="66">
        <f>IFERROR(J5/J$4*100,"-")</f>
        <v>67.432950191570882</v>
      </c>
    </row>
    <row r="6" spans="1:13" ht="20.100000000000001" customHeight="1">
      <c r="A6" s="46" t="s">
        <v>226</v>
      </c>
      <c r="B6" s="127">
        <v>94</v>
      </c>
      <c r="C6" s="66">
        <f t="shared" ref="C6:E12" si="2">IFERROR(B6/B$4*100,"-")</f>
        <v>24.867724867724867</v>
      </c>
      <c r="D6" s="127">
        <v>80</v>
      </c>
      <c r="E6" s="66">
        <f t="shared" si="2"/>
        <v>20.618556701030926</v>
      </c>
      <c r="F6" s="127">
        <v>95</v>
      </c>
      <c r="G6" s="66">
        <f t="shared" ref="G6" si="3">IFERROR(F6/F$4*100,"-")</f>
        <v>23.227383863080682</v>
      </c>
      <c r="H6" s="127">
        <v>63</v>
      </c>
      <c r="I6" s="66">
        <f t="shared" ref="I6" si="4">IFERROR(H6/H$4*100,"-")</f>
        <v>22.58064516129032</v>
      </c>
      <c r="J6" s="127">
        <v>42</v>
      </c>
      <c r="K6" s="66">
        <f t="shared" ref="K6" si="5">IFERROR(J6/J$4*100,"-")</f>
        <v>16.091954022988507</v>
      </c>
    </row>
    <row r="7" spans="1:13" ht="20.100000000000001" customHeight="1">
      <c r="A7" s="46" t="s">
        <v>225</v>
      </c>
      <c r="B7" s="127">
        <v>67</v>
      </c>
      <c r="C7" s="66">
        <f t="shared" si="2"/>
        <v>17.724867724867725</v>
      </c>
      <c r="D7" s="127">
        <v>76</v>
      </c>
      <c r="E7" s="66">
        <f t="shared" si="2"/>
        <v>19.587628865979383</v>
      </c>
      <c r="F7" s="127">
        <v>63</v>
      </c>
      <c r="G7" s="66">
        <f t="shared" ref="G7" si="6">IFERROR(F7/F$4*100,"-")</f>
        <v>15.403422982885084</v>
      </c>
      <c r="H7" s="127">
        <v>43</v>
      </c>
      <c r="I7" s="66">
        <f t="shared" ref="I7" si="7">IFERROR(H7/H$4*100,"-")</f>
        <v>15.412186379928317</v>
      </c>
      <c r="J7" s="127">
        <v>34</v>
      </c>
      <c r="K7" s="66">
        <f t="shared" ref="K7" si="8">IFERROR(J7/J$4*100,"-")</f>
        <v>13.026819923371647</v>
      </c>
    </row>
    <row r="8" spans="1:13" ht="20.100000000000001" customHeight="1">
      <c r="A8" s="186" t="s">
        <v>813</v>
      </c>
      <c r="B8" s="127">
        <v>2</v>
      </c>
      <c r="C8" s="66">
        <f t="shared" si="2"/>
        <v>0.52910052910052907</v>
      </c>
      <c r="D8" s="127">
        <v>5</v>
      </c>
      <c r="E8" s="66">
        <f t="shared" si="2"/>
        <v>1.2886597938144329</v>
      </c>
      <c r="F8" s="127">
        <v>7</v>
      </c>
      <c r="G8" s="66">
        <f t="shared" ref="G8" si="9">IFERROR(F8/F$4*100,"-")</f>
        <v>1.7114914425427872</v>
      </c>
      <c r="H8" s="127">
        <v>4</v>
      </c>
      <c r="I8" s="66">
        <f t="shared" ref="I8" si="10">IFERROR(H8/H$4*100,"-")</f>
        <v>1.4336917562724014</v>
      </c>
      <c r="J8" s="127">
        <v>3</v>
      </c>
      <c r="K8" s="66">
        <f t="shared" ref="K8" si="11">IFERROR(J8/J$4*100,"-")</f>
        <v>1.1494252873563218</v>
      </c>
    </row>
    <row r="9" spans="1:13" ht="16.5">
      <c r="A9" s="46" t="s">
        <v>227</v>
      </c>
      <c r="B9" s="127">
        <v>2</v>
      </c>
      <c r="C9" s="66">
        <f t="shared" si="2"/>
        <v>0.52910052910052907</v>
      </c>
      <c r="D9" s="127">
        <v>2</v>
      </c>
      <c r="E9" s="66">
        <f t="shared" si="2"/>
        <v>0.51546391752577314</v>
      </c>
      <c r="F9" s="127" t="s">
        <v>9</v>
      </c>
      <c r="G9" s="279" t="str">
        <f t="shared" ref="G9" si="12">IFERROR(F9/F$4*100,"-")</f>
        <v>-</v>
      </c>
      <c r="H9" s="127">
        <v>1</v>
      </c>
      <c r="I9" s="66">
        <f t="shared" ref="I9" si="13">IFERROR(H9/H$4*100,"-")</f>
        <v>0.35842293906810035</v>
      </c>
      <c r="J9" s="127">
        <v>5</v>
      </c>
      <c r="K9" s="66">
        <f t="shared" ref="K9" si="14">IFERROR(J9/J$4*100,"-")</f>
        <v>1.9157088122605364</v>
      </c>
    </row>
    <row r="10" spans="1:13" ht="20.100000000000001" customHeight="1">
      <c r="A10" s="46" t="s">
        <v>222</v>
      </c>
      <c r="B10" s="127" t="s">
        <v>9</v>
      </c>
      <c r="C10" s="279" t="str">
        <f t="shared" si="2"/>
        <v>-</v>
      </c>
      <c r="D10" s="127" t="s">
        <v>9</v>
      </c>
      <c r="E10" s="279" t="str">
        <f t="shared" si="2"/>
        <v>-</v>
      </c>
      <c r="F10" s="127" t="s">
        <v>9</v>
      </c>
      <c r="G10" s="279" t="str">
        <f t="shared" ref="G10" si="15">IFERROR(F10/F$4*100,"-")</f>
        <v>-</v>
      </c>
      <c r="H10" s="127" t="s">
        <v>9</v>
      </c>
      <c r="I10" s="279" t="str">
        <f t="shared" ref="I10" si="16">IFERROR(H10/H$4*100,"-")</f>
        <v>-</v>
      </c>
      <c r="J10" s="127" t="s">
        <v>9</v>
      </c>
      <c r="K10" s="279" t="str">
        <f t="shared" ref="K10" si="17">IFERROR(J10/J$4*100,"-")</f>
        <v>-</v>
      </c>
    </row>
    <row r="11" spans="1:13" ht="20.100000000000001" customHeight="1">
      <c r="A11" s="46" t="s">
        <v>223</v>
      </c>
      <c r="B11" s="127">
        <v>1</v>
      </c>
      <c r="C11" s="66">
        <f t="shared" si="2"/>
        <v>0.26455026455026454</v>
      </c>
      <c r="D11" s="127" t="s">
        <v>9</v>
      </c>
      <c r="E11" s="279" t="str">
        <f t="shared" si="2"/>
        <v>-</v>
      </c>
      <c r="F11" s="127">
        <v>2</v>
      </c>
      <c r="G11" s="66">
        <f t="shared" ref="G11" si="18">IFERROR(F11/F$4*100,"-")</f>
        <v>0.48899755501222492</v>
      </c>
      <c r="H11" s="127">
        <v>1</v>
      </c>
      <c r="I11" s="66">
        <f t="shared" ref="I11" si="19">IFERROR(H11/H$4*100,"-")</f>
        <v>0.35842293906810035</v>
      </c>
      <c r="J11" s="127">
        <v>1</v>
      </c>
      <c r="K11" s="66">
        <f t="shared" ref="K11" si="20">IFERROR(J11/J$4*100,"-")</f>
        <v>0.38314176245210724</v>
      </c>
    </row>
    <row r="12" spans="1:13" ht="20.100000000000001" customHeight="1" thickBot="1">
      <c r="A12" s="46" t="s">
        <v>224</v>
      </c>
      <c r="B12" s="127">
        <v>1</v>
      </c>
      <c r="C12" s="66">
        <f t="shared" si="2"/>
        <v>0.26455026455026454</v>
      </c>
      <c r="D12" s="127">
        <v>1</v>
      </c>
      <c r="E12" s="66">
        <f t="shared" si="2"/>
        <v>0.25773195876288657</v>
      </c>
      <c r="F12" s="127" t="s">
        <v>9</v>
      </c>
      <c r="G12" s="279" t="str">
        <f t="shared" ref="G12" si="21">IFERROR(F12/F$4*100,"-")</f>
        <v>-</v>
      </c>
      <c r="H12" s="127" t="s">
        <v>9</v>
      </c>
      <c r="I12" s="279" t="str">
        <f t="shared" ref="I12" si="22">IFERROR(H12/H$4*100,"-")</f>
        <v>-</v>
      </c>
      <c r="J12" s="127" t="s">
        <v>9</v>
      </c>
      <c r="K12" s="279" t="str">
        <f t="shared" ref="K12" si="23">IFERROR(J12/J$4*100,"-")</f>
        <v>-</v>
      </c>
    </row>
    <row r="13" spans="1:13" ht="20.100000000000001" customHeight="1">
      <c r="A13" s="68"/>
      <c r="B13" s="373" t="s">
        <v>34</v>
      </c>
      <c r="C13" s="373"/>
      <c r="D13" s="373" t="s">
        <v>35</v>
      </c>
      <c r="E13" s="373"/>
      <c r="F13" s="373" t="s">
        <v>36</v>
      </c>
      <c r="G13" s="373"/>
      <c r="H13" s="373" t="s">
        <v>37</v>
      </c>
      <c r="I13" s="373"/>
      <c r="J13" s="373" t="s">
        <v>646</v>
      </c>
      <c r="K13" s="373"/>
    </row>
    <row r="14" spans="1:13" ht="20.100000000000001" customHeight="1">
      <c r="A14" s="129"/>
      <c r="B14" s="115" t="s">
        <v>59</v>
      </c>
      <c r="C14" s="115" t="s">
        <v>122</v>
      </c>
      <c r="D14" s="115" t="s">
        <v>121</v>
      </c>
      <c r="E14" s="115" t="s">
        <v>122</v>
      </c>
      <c r="F14" s="115" t="s">
        <v>121</v>
      </c>
      <c r="G14" s="115" t="s">
        <v>5</v>
      </c>
      <c r="H14" s="115" t="s">
        <v>59</v>
      </c>
      <c r="I14" s="115" t="s">
        <v>122</v>
      </c>
      <c r="J14" s="115" t="s">
        <v>59</v>
      </c>
      <c r="K14" s="115" t="s">
        <v>122</v>
      </c>
    </row>
    <row r="15" spans="1:13" ht="20.100000000000001" customHeight="1">
      <c r="A15" s="46" t="s">
        <v>125</v>
      </c>
      <c r="B15" s="126">
        <f t="shared" ref="B15:K15" si="24">SUM(B16:B23)</f>
        <v>293</v>
      </c>
      <c r="C15" s="65">
        <f t="shared" si="24"/>
        <v>100</v>
      </c>
      <c r="D15" s="126">
        <f t="shared" si="24"/>
        <v>325</v>
      </c>
      <c r="E15" s="65">
        <f t="shared" si="24"/>
        <v>100.00000000000001</v>
      </c>
      <c r="F15" s="126">
        <f t="shared" si="24"/>
        <v>236</v>
      </c>
      <c r="G15" s="65">
        <f t="shared" si="24"/>
        <v>99.999999999999986</v>
      </c>
      <c r="H15" s="126">
        <f t="shared" si="24"/>
        <v>301</v>
      </c>
      <c r="I15" s="65">
        <f t="shared" si="24"/>
        <v>100</v>
      </c>
      <c r="J15" s="126">
        <f t="shared" si="24"/>
        <v>350</v>
      </c>
      <c r="K15" s="65">
        <f t="shared" si="24"/>
        <v>99.999999999999986</v>
      </c>
    </row>
    <row r="16" spans="1:13" ht="20.100000000000001" customHeight="1">
      <c r="A16" s="46" t="s">
        <v>814</v>
      </c>
      <c r="B16" s="127">
        <v>198</v>
      </c>
      <c r="C16" s="66">
        <f>IFERROR(B16/B$15*100,"-")</f>
        <v>67.576791808873722</v>
      </c>
      <c r="D16" s="127">
        <v>187</v>
      </c>
      <c r="E16" s="66">
        <f>IFERROR(D16/D$15*100,"-")</f>
        <v>57.53846153846154</v>
      </c>
      <c r="F16" s="127">
        <v>149</v>
      </c>
      <c r="G16" s="66">
        <f>IFERROR(F16/F$15*100,"-")</f>
        <v>63.135593220338983</v>
      </c>
      <c r="H16" s="127">
        <f>83+132</f>
        <v>215</v>
      </c>
      <c r="I16" s="66">
        <f>IFERROR(H16/H$15*100,"-")</f>
        <v>71.428571428571431</v>
      </c>
      <c r="J16" s="127">
        <v>220</v>
      </c>
      <c r="K16" s="66">
        <f>IFERROR(J16/J$15*100,"-")</f>
        <v>62.857142857142854</v>
      </c>
    </row>
    <row r="17" spans="1:11" ht="20.100000000000001" customHeight="1">
      <c r="A17" s="46" t="s">
        <v>231</v>
      </c>
      <c r="B17" s="127">
        <v>53</v>
      </c>
      <c r="C17" s="66">
        <f t="shared" ref="C17:E23" si="25">IFERROR(B17/B$15*100,"-")</f>
        <v>18.088737201365188</v>
      </c>
      <c r="D17" s="127">
        <v>70</v>
      </c>
      <c r="E17" s="66">
        <f t="shared" si="25"/>
        <v>21.53846153846154</v>
      </c>
      <c r="F17" s="127">
        <v>47</v>
      </c>
      <c r="G17" s="66">
        <f t="shared" ref="G17" si="26">IFERROR(F17/F$15*100,"-")</f>
        <v>19.915254237288135</v>
      </c>
      <c r="H17" s="127">
        <v>53</v>
      </c>
      <c r="I17" s="66">
        <f t="shared" ref="I17" si="27">IFERROR(H17/H$15*100,"-")</f>
        <v>17.607973421926911</v>
      </c>
      <c r="J17" s="127">
        <v>94</v>
      </c>
      <c r="K17" s="66">
        <f t="shared" ref="K17" si="28">IFERROR(J17/J$15*100,"-")</f>
        <v>26.857142857142858</v>
      </c>
    </row>
    <row r="18" spans="1:11" ht="20.100000000000001" customHeight="1">
      <c r="A18" s="46" t="s">
        <v>230</v>
      </c>
      <c r="B18" s="127">
        <v>37</v>
      </c>
      <c r="C18" s="66">
        <f t="shared" si="25"/>
        <v>12.627986348122866</v>
      </c>
      <c r="D18" s="127">
        <v>58</v>
      </c>
      <c r="E18" s="66">
        <f t="shared" si="25"/>
        <v>17.846153846153847</v>
      </c>
      <c r="F18" s="127">
        <v>35</v>
      </c>
      <c r="G18" s="66">
        <f t="shared" ref="G18" si="29">IFERROR(F18/F$15*100,"-")</f>
        <v>14.83050847457627</v>
      </c>
      <c r="H18" s="127">
        <v>26</v>
      </c>
      <c r="I18" s="66">
        <f t="shared" ref="I18" si="30">IFERROR(H18/H$15*100,"-")</f>
        <v>8.6378737541528228</v>
      </c>
      <c r="J18" s="127">
        <v>32</v>
      </c>
      <c r="K18" s="66">
        <f t="shared" ref="K18" si="31">IFERROR(J18/J$15*100,"-")</f>
        <v>9.1428571428571423</v>
      </c>
    </row>
    <row r="19" spans="1:11" ht="20.100000000000001" customHeight="1">
      <c r="A19" s="186" t="s">
        <v>813</v>
      </c>
      <c r="B19" s="127">
        <v>3</v>
      </c>
      <c r="C19" s="66">
        <f t="shared" si="25"/>
        <v>1.0238907849829351</v>
      </c>
      <c r="D19" s="127">
        <v>7</v>
      </c>
      <c r="E19" s="66">
        <f t="shared" si="25"/>
        <v>2.1538461538461537</v>
      </c>
      <c r="F19" s="127">
        <v>1</v>
      </c>
      <c r="G19" s="66">
        <f t="shared" ref="G19" si="32">IFERROR(F19/F$15*100,"-")</f>
        <v>0.42372881355932202</v>
      </c>
      <c r="H19" s="127">
        <v>4</v>
      </c>
      <c r="I19" s="66">
        <f t="shared" ref="I19" si="33">IFERROR(H19/H$15*100,"-")</f>
        <v>1.3289036544850499</v>
      </c>
      <c r="J19" s="127">
        <v>2</v>
      </c>
      <c r="K19" s="66">
        <f t="shared" ref="K19" si="34">IFERROR(J19/J$15*100,"-")</f>
        <v>0.5714285714285714</v>
      </c>
    </row>
    <row r="20" spans="1:11" ht="16.5">
      <c r="A20" s="46" t="s">
        <v>232</v>
      </c>
      <c r="B20" s="127">
        <v>2</v>
      </c>
      <c r="C20" s="66">
        <f t="shared" si="25"/>
        <v>0.68259385665529015</v>
      </c>
      <c r="D20" s="127">
        <v>2</v>
      </c>
      <c r="E20" s="66">
        <f t="shared" si="25"/>
        <v>0.61538461538461542</v>
      </c>
      <c r="F20" s="127">
        <v>3</v>
      </c>
      <c r="G20" s="66">
        <f t="shared" ref="G20" si="35">IFERROR(F20/F$15*100,"-")</f>
        <v>1.2711864406779663</v>
      </c>
      <c r="H20" s="127">
        <f>2+1</f>
        <v>3</v>
      </c>
      <c r="I20" s="66">
        <f t="shared" ref="I20" si="36">IFERROR(H20/H$15*100,"-")</f>
        <v>0.99667774086378735</v>
      </c>
      <c r="J20" s="127">
        <v>2</v>
      </c>
      <c r="K20" s="66">
        <f t="shared" ref="K20" si="37">IFERROR(J20/J$15*100,"-")</f>
        <v>0.5714285714285714</v>
      </c>
    </row>
    <row r="21" spans="1:11" ht="20.100000000000001" customHeight="1">
      <c r="A21" s="46" t="s">
        <v>228</v>
      </c>
      <c r="B21" s="127" t="s">
        <v>9</v>
      </c>
      <c r="C21" s="279" t="str">
        <f t="shared" si="25"/>
        <v>-</v>
      </c>
      <c r="D21" s="127" t="s">
        <v>9</v>
      </c>
      <c r="E21" s="279" t="str">
        <f t="shared" si="25"/>
        <v>-</v>
      </c>
      <c r="F21" s="127" t="s">
        <v>9</v>
      </c>
      <c r="G21" s="279" t="str">
        <f t="shared" ref="G21" si="38">IFERROR(F21/F$15*100,"-")</f>
        <v>-</v>
      </c>
      <c r="H21" s="127" t="s">
        <v>15</v>
      </c>
      <c r="I21" s="279" t="str">
        <f t="shared" ref="I21" si="39">IFERROR(H21/H$15*100,"-")</f>
        <v>-</v>
      </c>
      <c r="J21" s="127" t="s">
        <v>647</v>
      </c>
      <c r="K21" s="279" t="str">
        <f t="shared" ref="K21" si="40">IFERROR(J21/J$15*100,"-")</f>
        <v>-</v>
      </c>
    </row>
    <row r="22" spans="1:11" ht="20.100000000000001" customHeight="1">
      <c r="A22" s="46" t="s">
        <v>223</v>
      </c>
      <c r="B22" s="127" t="s">
        <v>9</v>
      </c>
      <c r="C22" s="279" t="str">
        <f t="shared" si="25"/>
        <v>-</v>
      </c>
      <c r="D22" s="127">
        <v>1</v>
      </c>
      <c r="E22" s="66">
        <f t="shared" si="25"/>
        <v>0.30769230769230771</v>
      </c>
      <c r="F22" s="127" t="s">
        <v>14</v>
      </c>
      <c r="G22" s="279" t="str">
        <f t="shared" ref="G22" si="41">IFERROR(F22/F$15*100,"-")</f>
        <v>-</v>
      </c>
      <c r="H22" s="127" t="s">
        <v>15</v>
      </c>
      <c r="I22" s="279" t="str">
        <f t="shared" ref="I22" si="42">IFERROR(H22/H$15*100,"-")</f>
        <v>-</v>
      </c>
      <c r="J22" s="127" t="s">
        <v>647</v>
      </c>
      <c r="K22" s="279" t="str">
        <f t="shared" ref="K22" si="43">IFERROR(J22/J$15*100,"-")</f>
        <v>-</v>
      </c>
    </row>
    <row r="23" spans="1:11" ht="20.100000000000001" customHeight="1">
      <c r="A23" s="113" t="s">
        <v>229</v>
      </c>
      <c r="B23" s="128" t="s">
        <v>9</v>
      </c>
      <c r="C23" s="275" t="str">
        <f t="shared" si="25"/>
        <v>-</v>
      </c>
      <c r="D23" s="128" t="s">
        <v>9</v>
      </c>
      <c r="E23" s="275" t="str">
        <f t="shared" si="25"/>
        <v>-</v>
      </c>
      <c r="F23" s="128">
        <v>1</v>
      </c>
      <c r="G23" s="67">
        <f t="shared" ref="G23" si="44">IFERROR(F23/F$15*100,"-")</f>
        <v>0.42372881355932202</v>
      </c>
      <c r="H23" s="128" t="s">
        <v>15</v>
      </c>
      <c r="I23" s="275" t="str">
        <f t="shared" ref="I23" si="45">IFERROR(H23/H$15*100,"-")</f>
        <v>-</v>
      </c>
      <c r="J23" s="128" t="s">
        <v>647</v>
      </c>
      <c r="K23" s="275" t="str">
        <f t="shared" ref="K23" si="46">IFERROR(J23/J$15*100,"-")</f>
        <v>-</v>
      </c>
    </row>
    <row r="24" spans="1:11" ht="15.75">
      <c r="A24" s="339" t="s">
        <v>416</v>
      </c>
      <c r="B24" s="339"/>
      <c r="C24" s="339"/>
      <c r="D24" s="339"/>
      <c r="E24" s="339"/>
      <c r="F24" s="339"/>
      <c r="J24" s="24"/>
      <c r="K24" s="24"/>
    </row>
    <row r="25" spans="1:11" ht="15.75">
      <c r="A25" s="389" t="s">
        <v>417</v>
      </c>
      <c r="B25" s="389"/>
      <c r="C25" s="389"/>
      <c r="D25" s="389"/>
      <c r="E25" s="389"/>
    </row>
    <row r="26" spans="1:11" ht="15.75">
      <c r="A26" s="389"/>
      <c r="B26" s="389"/>
      <c r="C26" s="389"/>
      <c r="D26" s="389"/>
      <c r="E26" s="389"/>
    </row>
  </sheetData>
  <sortState ref="A16:K23">
    <sortCondition descending="1" ref="J16:J23"/>
  </sortState>
  <mergeCells count="13">
    <mergeCell ref="J13:K13"/>
    <mergeCell ref="A24:F24"/>
    <mergeCell ref="A1:K1"/>
    <mergeCell ref="A25:E26"/>
    <mergeCell ref="H13:I13"/>
    <mergeCell ref="F13:G13"/>
    <mergeCell ref="D13:E13"/>
    <mergeCell ref="B13:C13"/>
    <mergeCell ref="J2:K2"/>
    <mergeCell ref="H2:I2"/>
    <mergeCell ref="F2:G2"/>
    <mergeCell ref="D2:E2"/>
    <mergeCell ref="B2:C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7"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23"/>
  <sheetViews>
    <sheetView showGridLines="0" showRuler="0" zoomScaleNormal="100" zoomScalePageLayoutView="125" workbookViewId="0">
      <pane xSplit="1" ySplit="4" topLeftCell="B5" activePane="bottomRight" state="frozen"/>
      <selection activeCell="F17" sqref="F17"/>
      <selection pane="topRight" activeCell="F17" sqref="F17"/>
      <selection pane="bottomLeft" activeCell="F17" sqref="F17"/>
      <selection pane="bottomRight" activeCell="F17" sqref="F17"/>
    </sheetView>
  </sheetViews>
  <sheetFormatPr defaultColWidth="9" defaultRowHeight="15.75"/>
  <cols>
    <col min="1" max="1" width="15.625" style="17" customWidth="1"/>
    <col min="2" max="21" width="7.625" style="17" customWidth="1"/>
    <col min="22" max="16384" width="9" style="17"/>
  </cols>
  <sheetData>
    <row r="1" spans="1:21" ht="23.25" customHeight="1">
      <c r="A1" s="297" t="s">
        <v>553</v>
      </c>
      <c r="B1" s="297"/>
      <c r="C1" s="297"/>
      <c r="D1" s="297"/>
      <c r="E1" s="297"/>
      <c r="F1" s="297"/>
      <c r="G1" s="297"/>
      <c r="H1" s="297"/>
      <c r="I1" s="297"/>
      <c r="J1" s="297"/>
      <c r="K1" s="297"/>
      <c r="L1" s="297"/>
      <c r="M1" s="297"/>
      <c r="N1" s="297"/>
      <c r="O1" s="297"/>
      <c r="P1" s="297"/>
      <c r="Q1" s="297"/>
      <c r="R1" s="297"/>
      <c r="S1" s="297"/>
      <c r="T1" s="297"/>
      <c r="U1" s="297"/>
    </row>
    <row r="2" spans="1:21" ht="20.100000000000001" customHeight="1">
      <c r="A2" s="378"/>
      <c r="B2" s="302" t="s">
        <v>29</v>
      </c>
      <c r="C2" s="302"/>
      <c r="D2" s="302"/>
      <c r="E2" s="302"/>
      <c r="F2" s="302" t="s">
        <v>30</v>
      </c>
      <c r="G2" s="302"/>
      <c r="H2" s="302"/>
      <c r="I2" s="302"/>
      <c r="J2" s="302" t="s">
        <v>31</v>
      </c>
      <c r="K2" s="302"/>
      <c r="L2" s="302"/>
      <c r="M2" s="302"/>
      <c r="N2" s="302" t="s">
        <v>32</v>
      </c>
      <c r="O2" s="302"/>
      <c r="P2" s="302"/>
      <c r="Q2" s="302"/>
      <c r="R2" s="302" t="s">
        <v>184</v>
      </c>
      <c r="S2" s="302"/>
      <c r="T2" s="302"/>
      <c r="U2" s="302"/>
    </row>
    <row r="3" spans="1:21" s="36" customFormat="1" ht="20.100000000000001" customHeight="1">
      <c r="A3" s="342"/>
      <c r="B3" s="302" t="s">
        <v>156</v>
      </c>
      <c r="C3" s="302"/>
      <c r="D3" s="302"/>
      <c r="E3" s="378" t="s">
        <v>866</v>
      </c>
      <c r="F3" s="302" t="s">
        <v>156</v>
      </c>
      <c r="G3" s="302"/>
      <c r="H3" s="302"/>
      <c r="I3" s="378" t="s">
        <v>157</v>
      </c>
      <c r="J3" s="302" t="s">
        <v>156</v>
      </c>
      <c r="K3" s="302"/>
      <c r="L3" s="302"/>
      <c r="M3" s="378" t="s">
        <v>866</v>
      </c>
      <c r="N3" s="302" t="s">
        <v>156</v>
      </c>
      <c r="O3" s="302"/>
      <c r="P3" s="302"/>
      <c r="Q3" s="378" t="s">
        <v>157</v>
      </c>
      <c r="R3" s="302" t="s">
        <v>156</v>
      </c>
      <c r="S3" s="302"/>
      <c r="T3" s="302"/>
      <c r="U3" s="378" t="s">
        <v>157</v>
      </c>
    </row>
    <row r="4" spans="1:21" s="36" customFormat="1" ht="20.100000000000001" customHeight="1">
      <c r="A4" s="342"/>
      <c r="B4" s="115" t="s">
        <v>125</v>
      </c>
      <c r="C4" s="195" t="s">
        <v>406</v>
      </c>
      <c r="D4" s="195" t="s">
        <v>407</v>
      </c>
      <c r="E4" s="343"/>
      <c r="F4" s="115" t="s">
        <v>125</v>
      </c>
      <c r="G4" s="195" t="s">
        <v>406</v>
      </c>
      <c r="H4" s="195" t="s">
        <v>407</v>
      </c>
      <c r="I4" s="343"/>
      <c r="J4" s="115" t="s">
        <v>125</v>
      </c>
      <c r="K4" s="195" t="s">
        <v>406</v>
      </c>
      <c r="L4" s="195" t="s">
        <v>407</v>
      </c>
      <c r="M4" s="343"/>
      <c r="N4" s="115" t="s">
        <v>125</v>
      </c>
      <c r="O4" s="195" t="s">
        <v>406</v>
      </c>
      <c r="P4" s="195" t="s">
        <v>407</v>
      </c>
      <c r="Q4" s="343"/>
      <c r="R4" s="115" t="s">
        <v>125</v>
      </c>
      <c r="S4" s="195" t="s">
        <v>406</v>
      </c>
      <c r="T4" s="195" t="s">
        <v>407</v>
      </c>
      <c r="U4" s="343"/>
    </row>
    <row r="5" spans="1:21" s="36" customFormat="1" ht="20.100000000000001" customHeight="1">
      <c r="A5" s="46" t="s">
        <v>6</v>
      </c>
      <c r="B5" s="52">
        <v>378</v>
      </c>
      <c r="C5" s="52">
        <v>347</v>
      </c>
      <c r="D5" s="52">
        <v>31</v>
      </c>
      <c r="E5" s="211">
        <f>SUM(E6:E10)</f>
        <v>100</v>
      </c>
      <c r="F5" s="52">
        <v>388</v>
      </c>
      <c r="G5" s="52">
        <v>348</v>
      </c>
      <c r="H5" s="52">
        <v>40</v>
      </c>
      <c r="I5" s="211">
        <f>SUM(I6:I10)</f>
        <v>100</v>
      </c>
      <c r="J5" s="212">
        <v>409</v>
      </c>
      <c r="K5" s="52">
        <v>376</v>
      </c>
      <c r="L5" s="52">
        <v>33</v>
      </c>
      <c r="M5" s="211">
        <f>SUM(M6:M10)</f>
        <v>100.00000000000001</v>
      </c>
      <c r="N5" s="212">
        <v>279</v>
      </c>
      <c r="O5" s="212">
        <v>261</v>
      </c>
      <c r="P5" s="212">
        <v>18</v>
      </c>
      <c r="Q5" s="211">
        <f>SUM(Q6:Q10)</f>
        <v>99.999999999999986</v>
      </c>
      <c r="R5" s="52">
        <v>261</v>
      </c>
      <c r="S5" s="52">
        <v>244</v>
      </c>
      <c r="T5" s="52">
        <v>17</v>
      </c>
      <c r="U5" s="211">
        <f>SUM(U6:U10)</f>
        <v>100</v>
      </c>
    </row>
    <row r="6" spans="1:21" ht="20.100000000000001" customHeight="1">
      <c r="A6" s="46" t="s">
        <v>234</v>
      </c>
      <c r="B6" s="52">
        <v>149</v>
      </c>
      <c r="C6" s="52">
        <v>143</v>
      </c>
      <c r="D6" s="52">
        <v>6</v>
      </c>
      <c r="E6" s="211">
        <f>B6/B$5*100</f>
        <v>39.417989417989418</v>
      </c>
      <c r="F6" s="52">
        <v>135</v>
      </c>
      <c r="G6" s="52">
        <v>121</v>
      </c>
      <c r="H6" s="52">
        <v>14</v>
      </c>
      <c r="I6" s="211">
        <f>F6/F$5*100</f>
        <v>34.793814432989691</v>
      </c>
      <c r="J6" s="52">
        <v>142</v>
      </c>
      <c r="K6" s="52">
        <v>131</v>
      </c>
      <c r="L6" s="52">
        <v>11</v>
      </c>
      <c r="M6" s="211">
        <f>J6/J$5*100</f>
        <v>34.718826405867972</v>
      </c>
      <c r="N6" s="52">
        <v>81</v>
      </c>
      <c r="O6" s="52">
        <v>79</v>
      </c>
      <c r="P6" s="52">
        <v>2</v>
      </c>
      <c r="Q6" s="211">
        <f>N6/N$5*100</f>
        <v>29.032258064516132</v>
      </c>
      <c r="R6" s="52">
        <v>77</v>
      </c>
      <c r="S6" s="52">
        <v>71</v>
      </c>
      <c r="T6" s="52">
        <v>6</v>
      </c>
      <c r="U6" s="211">
        <f>R6/R$5*100</f>
        <v>29.501915708812259</v>
      </c>
    </row>
    <row r="7" spans="1:21" ht="20.100000000000001" customHeight="1">
      <c r="A7" s="46" t="s">
        <v>238</v>
      </c>
      <c r="B7" s="52">
        <v>107</v>
      </c>
      <c r="C7" s="52">
        <v>94</v>
      </c>
      <c r="D7" s="52">
        <v>13</v>
      </c>
      <c r="E7" s="211">
        <f>B7/B$5*100</f>
        <v>28.306878306878307</v>
      </c>
      <c r="F7" s="52">
        <v>117</v>
      </c>
      <c r="G7" s="52">
        <v>107</v>
      </c>
      <c r="H7" s="52">
        <v>10</v>
      </c>
      <c r="I7" s="211">
        <f>F7/F$5*100</f>
        <v>30.154639175257731</v>
      </c>
      <c r="J7" s="52">
        <v>127</v>
      </c>
      <c r="K7" s="52">
        <v>112</v>
      </c>
      <c r="L7" s="52">
        <v>15</v>
      </c>
      <c r="M7" s="211">
        <f>J7/J$5*100</f>
        <v>31.051344743276282</v>
      </c>
      <c r="N7" s="52">
        <v>93</v>
      </c>
      <c r="O7" s="52">
        <v>85</v>
      </c>
      <c r="P7" s="52">
        <v>8</v>
      </c>
      <c r="Q7" s="211">
        <f>N7/N$5*100</f>
        <v>33.333333333333329</v>
      </c>
      <c r="R7" s="52">
        <v>77</v>
      </c>
      <c r="S7" s="52">
        <v>70</v>
      </c>
      <c r="T7" s="52">
        <v>7</v>
      </c>
      <c r="U7" s="211">
        <f>R7/R$5*100</f>
        <v>29.501915708812259</v>
      </c>
    </row>
    <row r="8" spans="1:21" ht="20.100000000000001" customHeight="1">
      <c r="A8" s="46" t="s">
        <v>235</v>
      </c>
      <c r="B8" s="52">
        <v>61</v>
      </c>
      <c r="C8" s="52">
        <v>54</v>
      </c>
      <c r="D8" s="52">
        <v>7</v>
      </c>
      <c r="E8" s="211">
        <f>B8/B$5*100</f>
        <v>16.137566137566136</v>
      </c>
      <c r="F8" s="52">
        <v>65</v>
      </c>
      <c r="G8" s="52">
        <v>56</v>
      </c>
      <c r="H8" s="52">
        <v>9</v>
      </c>
      <c r="I8" s="211">
        <f>F8/F$5*100</f>
        <v>16.752577319587626</v>
      </c>
      <c r="J8" s="52">
        <v>75</v>
      </c>
      <c r="K8" s="52">
        <v>71</v>
      </c>
      <c r="L8" s="52">
        <v>4</v>
      </c>
      <c r="M8" s="211">
        <f>J8/J$5*100</f>
        <v>18.337408312958438</v>
      </c>
      <c r="N8" s="52">
        <v>55</v>
      </c>
      <c r="O8" s="52">
        <v>50</v>
      </c>
      <c r="P8" s="52">
        <v>5</v>
      </c>
      <c r="Q8" s="211">
        <f>N8/N$5*100</f>
        <v>19.713261648745519</v>
      </c>
      <c r="R8" s="52">
        <v>64</v>
      </c>
      <c r="S8" s="52">
        <v>62</v>
      </c>
      <c r="T8" s="52">
        <v>2</v>
      </c>
      <c r="U8" s="211">
        <f>R8/R$5*100</f>
        <v>24.521072796934863</v>
      </c>
    </row>
    <row r="9" spans="1:21" ht="20.100000000000001" customHeight="1">
      <c r="A9" s="46" t="s">
        <v>236</v>
      </c>
      <c r="B9" s="52">
        <v>14</v>
      </c>
      <c r="C9" s="52">
        <v>14</v>
      </c>
      <c r="D9" s="21" t="s">
        <v>9</v>
      </c>
      <c r="E9" s="211">
        <f>B9/B$5*100</f>
        <v>3.7037037037037033</v>
      </c>
      <c r="F9" s="52">
        <v>14</v>
      </c>
      <c r="G9" s="52">
        <v>13</v>
      </c>
      <c r="H9" s="52">
        <v>1</v>
      </c>
      <c r="I9" s="211">
        <f>F9/F$5*100</f>
        <v>3.608247422680412</v>
      </c>
      <c r="J9" s="52">
        <v>13</v>
      </c>
      <c r="K9" s="52">
        <v>13</v>
      </c>
      <c r="L9" s="21" t="s">
        <v>9</v>
      </c>
      <c r="M9" s="211">
        <f>J9/J$5*100</f>
        <v>3.1784841075794623</v>
      </c>
      <c r="N9" s="52">
        <v>17</v>
      </c>
      <c r="O9" s="52">
        <v>16</v>
      </c>
      <c r="P9" s="52">
        <v>1</v>
      </c>
      <c r="Q9" s="211">
        <f>N9/N$5*100</f>
        <v>6.0931899641577063</v>
      </c>
      <c r="R9" s="52">
        <v>17</v>
      </c>
      <c r="S9" s="52">
        <v>16</v>
      </c>
      <c r="T9" s="52">
        <v>1</v>
      </c>
      <c r="U9" s="211">
        <f>R9/R$5*100</f>
        <v>6.5134099616858236</v>
      </c>
    </row>
    <row r="10" spans="1:21" ht="20.100000000000001" customHeight="1" thickBot="1">
      <c r="A10" s="113" t="s">
        <v>237</v>
      </c>
      <c r="B10" s="52">
        <v>47</v>
      </c>
      <c r="C10" s="52">
        <v>42</v>
      </c>
      <c r="D10" s="52">
        <v>5</v>
      </c>
      <c r="E10" s="211">
        <f>B10/B$5*100</f>
        <v>12.433862433862434</v>
      </c>
      <c r="F10" s="52">
        <v>57</v>
      </c>
      <c r="G10" s="52">
        <v>51</v>
      </c>
      <c r="H10" s="52">
        <v>6</v>
      </c>
      <c r="I10" s="211">
        <f>F10/F$5*100</f>
        <v>14.690721649484537</v>
      </c>
      <c r="J10" s="181">
        <v>52</v>
      </c>
      <c r="K10" s="181">
        <v>49</v>
      </c>
      <c r="L10" s="181">
        <v>3</v>
      </c>
      <c r="M10" s="213">
        <f>J10/J$5*100</f>
        <v>12.713936430317849</v>
      </c>
      <c r="N10" s="181">
        <v>33</v>
      </c>
      <c r="O10" s="181">
        <v>31</v>
      </c>
      <c r="P10" s="181">
        <v>2</v>
      </c>
      <c r="Q10" s="213">
        <f>N10/N$5*100</f>
        <v>11.827956989247312</v>
      </c>
      <c r="R10" s="214">
        <v>26</v>
      </c>
      <c r="S10" s="214">
        <v>25</v>
      </c>
      <c r="T10" s="214">
        <v>1</v>
      </c>
      <c r="U10" s="211">
        <f>R10/R$5*100</f>
        <v>9.9616858237547881</v>
      </c>
    </row>
    <row r="11" spans="1:21" ht="20.100000000000001" customHeight="1">
      <c r="A11" s="391"/>
      <c r="B11" s="373" t="s">
        <v>34</v>
      </c>
      <c r="C11" s="373"/>
      <c r="D11" s="373"/>
      <c r="E11" s="373"/>
      <c r="F11" s="373" t="s">
        <v>35</v>
      </c>
      <c r="G11" s="373"/>
      <c r="H11" s="373"/>
      <c r="I11" s="373"/>
      <c r="J11" s="373" t="s">
        <v>36</v>
      </c>
      <c r="K11" s="373"/>
      <c r="L11" s="373"/>
      <c r="M11" s="373"/>
      <c r="N11" s="373" t="s">
        <v>37</v>
      </c>
      <c r="O11" s="373"/>
      <c r="P11" s="373"/>
      <c r="Q11" s="373"/>
      <c r="R11" s="373" t="s">
        <v>648</v>
      </c>
      <c r="S11" s="373"/>
      <c r="T11" s="373"/>
      <c r="U11" s="373"/>
    </row>
    <row r="12" spans="1:21" ht="20.100000000000001" customHeight="1">
      <c r="A12" s="342"/>
      <c r="B12" s="302" t="s">
        <v>156</v>
      </c>
      <c r="C12" s="302"/>
      <c r="D12" s="302"/>
      <c r="E12" s="378" t="s">
        <v>157</v>
      </c>
      <c r="F12" s="302" t="s">
        <v>156</v>
      </c>
      <c r="G12" s="302"/>
      <c r="H12" s="302"/>
      <c r="I12" s="378" t="s">
        <v>157</v>
      </c>
      <c r="J12" s="302" t="s">
        <v>156</v>
      </c>
      <c r="K12" s="302"/>
      <c r="L12" s="302"/>
      <c r="M12" s="378" t="s">
        <v>866</v>
      </c>
      <c r="N12" s="302" t="s">
        <v>156</v>
      </c>
      <c r="O12" s="302"/>
      <c r="P12" s="302"/>
      <c r="Q12" s="378" t="s">
        <v>157</v>
      </c>
      <c r="R12" s="302" t="s">
        <v>156</v>
      </c>
      <c r="S12" s="302"/>
      <c r="T12" s="302"/>
      <c r="U12" s="378" t="s">
        <v>157</v>
      </c>
    </row>
    <row r="13" spans="1:21" ht="20.100000000000001" customHeight="1">
      <c r="A13" s="342"/>
      <c r="B13" s="115" t="s">
        <v>125</v>
      </c>
      <c r="C13" s="195" t="s">
        <v>406</v>
      </c>
      <c r="D13" s="195" t="s">
        <v>407</v>
      </c>
      <c r="E13" s="343"/>
      <c r="F13" s="115" t="s">
        <v>125</v>
      </c>
      <c r="G13" s="195" t="s">
        <v>406</v>
      </c>
      <c r="H13" s="195" t="s">
        <v>407</v>
      </c>
      <c r="I13" s="343"/>
      <c r="J13" s="115" t="s">
        <v>125</v>
      </c>
      <c r="K13" s="195" t="s">
        <v>406</v>
      </c>
      <c r="L13" s="195" t="s">
        <v>407</v>
      </c>
      <c r="M13" s="343"/>
      <c r="N13" s="115" t="s">
        <v>125</v>
      </c>
      <c r="O13" s="195" t="s">
        <v>406</v>
      </c>
      <c r="P13" s="195" t="s">
        <v>407</v>
      </c>
      <c r="Q13" s="343"/>
      <c r="R13" s="115" t="s">
        <v>125</v>
      </c>
      <c r="S13" s="195" t="s">
        <v>406</v>
      </c>
      <c r="T13" s="195" t="s">
        <v>407</v>
      </c>
      <c r="U13" s="343"/>
    </row>
    <row r="14" spans="1:21" s="36" customFormat="1" ht="20.100000000000001" customHeight="1">
      <c r="A14" s="46" t="s">
        <v>6</v>
      </c>
      <c r="B14" s="52">
        <f t="shared" ref="B14:B19" si="0">SUM(C14,D14)</f>
        <v>293</v>
      </c>
      <c r="C14" s="52">
        <v>270</v>
      </c>
      <c r="D14" s="52">
        <v>23</v>
      </c>
      <c r="E14" s="211">
        <f>SUM(E15:E19)</f>
        <v>99.999999999999986</v>
      </c>
      <c r="F14" s="52">
        <f t="shared" ref="F14:F19" si="1">SUM(G14,H14)</f>
        <v>325</v>
      </c>
      <c r="G14" s="52">
        <v>300</v>
      </c>
      <c r="H14" s="52">
        <v>25</v>
      </c>
      <c r="I14" s="211">
        <f>SUM(I15:I19)</f>
        <v>100</v>
      </c>
      <c r="J14" s="212">
        <f t="shared" ref="J14:J19" si="2">SUM(K14,L14)</f>
        <v>236</v>
      </c>
      <c r="K14" s="52">
        <v>210</v>
      </c>
      <c r="L14" s="52">
        <v>26</v>
      </c>
      <c r="M14" s="211">
        <f>SUM(M15:M19)</f>
        <v>100</v>
      </c>
      <c r="N14" s="27">
        <f t="shared" ref="N14:N19" si="3">SUM(O14:P14)</f>
        <v>301</v>
      </c>
      <c r="O14" s="27">
        <f>SUM(O15:O19)</f>
        <v>284</v>
      </c>
      <c r="P14" s="27">
        <f>SUM(P15:P19)</f>
        <v>17</v>
      </c>
      <c r="Q14" s="211">
        <f>SUM(Q15:Q19)</f>
        <v>99.999999999999986</v>
      </c>
      <c r="R14" s="27">
        <f t="shared" ref="R14:R19" si="4">SUM(S14:T14)</f>
        <v>350</v>
      </c>
      <c r="S14" s="27">
        <f>SUM(S15:S19)</f>
        <v>325</v>
      </c>
      <c r="T14" s="27">
        <f>SUM(T15:T19)</f>
        <v>25</v>
      </c>
      <c r="U14" s="211">
        <f>SUM(U15:U19)</f>
        <v>100.00000000000001</v>
      </c>
    </row>
    <row r="15" spans="1:21" ht="20.100000000000001" customHeight="1">
      <c r="A15" s="46" t="s">
        <v>234</v>
      </c>
      <c r="B15" s="52">
        <f t="shared" si="0"/>
        <v>74</v>
      </c>
      <c r="C15" s="52">
        <v>69</v>
      </c>
      <c r="D15" s="52">
        <v>5</v>
      </c>
      <c r="E15" s="211">
        <f>B15/B$14*100</f>
        <v>25.255972696245731</v>
      </c>
      <c r="F15" s="52">
        <f t="shared" si="1"/>
        <v>98</v>
      </c>
      <c r="G15" s="52">
        <v>92</v>
      </c>
      <c r="H15" s="52">
        <v>6</v>
      </c>
      <c r="I15" s="211">
        <f>F15/F$14*100</f>
        <v>30.153846153846153</v>
      </c>
      <c r="J15" s="52">
        <f t="shared" si="2"/>
        <v>65</v>
      </c>
      <c r="K15" s="52">
        <v>61</v>
      </c>
      <c r="L15" s="52">
        <v>4</v>
      </c>
      <c r="M15" s="211">
        <f>J15/J$14*100</f>
        <v>27.542372881355931</v>
      </c>
      <c r="N15" s="27">
        <f t="shared" si="3"/>
        <v>98</v>
      </c>
      <c r="O15" s="27">
        <v>92</v>
      </c>
      <c r="P15" s="27">
        <v>6</v>
      </c>
      <c r="Q15" s="21">
        <f>N15/N$14*100</f>
        <v>32.558139534883722</v>
      </c>
      <c r="R15" s="27">
        <f t="shared" si="4"/>
        <v>159</v>
      </c>
      <c r="S15" s="27">
        <v>148</v>
      </c>
      <c r="T15" s="27">
        <v>11</v>
      </c>
      <c r="U15" s="21">
        <f>R15/R$14*100</f>
        <v>45.428571428571431</v>
      </c>
    </row>
    <row r="16" spans="1:21" ht="20.100000000000001" customHeight="1">
      <c r="A16" s="46" t="s">
        <v>238</v>
      </c>
      <c r="B16" s="52">
        <f t="shared" si="0"/>
        <v>106</v>
      </c>
      <c r="C16" s="52">
        <v>94</v>
      </c>
      <c r="D16" s="52">
        <v>12</v>
      </c>
      <c r="E16" s="211">
        <f>B16/B$14*100</f>
        <v>36.177474402730375</v>
      </c>
      <c r="F16" s="52">
        <f t="shared" si="1"/>
        <v>91</v>
      </c>
      <c r="G16" s="52">
        <v>80</v>
      </c>
      <c r="H16" s="52">
        <v>11</v>
      </c>
      <c r="I16" s="211">
        <f>F16/F$14*100</f>
        <v>28.000000000000004</v>
      </c>
      <c r="J16" s="52">
        <f t="shared" si="2"/>
        <v>78</v>
      </c>
      <c r="K16" s="52">
        <v>67</v>
      </c>
      <c r="L16" s="52">
        <v>11</v>
      </c>
      <c r="M16" s="211">
        <f>J16/J$14*100</f>
        <v>33.050847457627121</v>
      </c>
      <c r="N16" s="27">
        <f t="shared" si="3"/>
        <v>97</v>
      </c>
      <c r="O16" s="27">
        <v>91</v>
      </c>
      <c r="P16" s="27">
        <v>6</v>
      </c>
      <c r="Q16" s="21">
        <f>N16/N$14*100</f>
        <v>32.225913621262457</v>
      </c>
      <c r="R16" s="27">
        <f t="shared" si="4"/>
        <v>86</v>
      </c>
      <c r="S16" s="27">
        <v>76</v>
      </c>
      <c r="T16" s="27">
        <v>10</v>
      </c>
      <c r="U16" s="21">
        <f>R16/R$14*100</f>
        <v>24.571428571428573</v>
      </c>
    </row>
    <row r="17" spans="1:21" ht="20.100000000000001" customHeight="1">
      <c r="A17" s="46" t="s">
        <v>235</v>
      </c>
      <c r="B17" s="52">
        <f t="shared" si="0"/>
        <v>67</v>
      </c>
      <c r="C17" s="52">
        <v>63</v>
      </c>
      <c r="D17" s="52">
        <v>4</v>
      </c>
      <c r="E17" s="211">
        <f>B17/B$14*100</f>
        <v>22.866894197952217</v>
      </c>
      <c r="F17" s="52">
        <f t="shared" si="1"/>
        <v>67</v>
      </c>
      <c r="G17" s="52">
        <v>63</v>
      </c>
      <c r="H17" s="52">
        <v>4</v>
      </c>
      <c r="I17" s="211">
        <f>F17/F$14*100</f>
        <v>20.615384615384617</v>
      </c>
      <c r="J17" s="52">
        <f t="shared" si="2"/>
        <v>63</v>
      </c>
      <c r="K17" s="52">
        <v>55</v>
      </c>
      <c r="L17" s="52">
        <v>8</v>
      </c>
      <c r="M17" s="211">
        <f>J17/J$14*100</f>
        <v>26.694915254237291</v>
      </c>
      <c r="N17" s="27">
        <f t="shared" si="3"/>
        <v>64</v>
      </c>
      <c r="O17" s="27">
        <v>60</v>
      </c>
      <c r="P17" s="27">
        <v>4</v>
      </c>
      <c r="Q17" s="21">
        <f>N17/N$14*100</f>
        <v>21.262458471760798</v>
      </c>
      <c r="R17" s="27">
        <f t="shared" si="4"/>
        <v>66</v>
      </c>
      <c r="S17" s="27">
        <v>64</v>
      </c>
      <c r="T17" s="27">
        <v>2</v>
      </c>
      <c r="U17" s="21">
        <f>R17/R$14*100</f>
        <v>18.857142857142858</v>
      </c>
    </row>
    <row r="18" spans="1:21" ht="20.100000000000001" customHeight="1">
      <c r="A18" s="46" t="s">
        <v>236</v>
      </c>
      <c r="B18" s="52">
        <f t="shared" si="0"/>
        <v>16</v>
      </c>
      <c r="C18" s="52">
        <v>16</v>
      </c>
      <c r="D18" s="21" t="s">
        <v>9</v>
      </c>
      <c r="E18" s="211">
        <f>B18/B$14*100</f>
        <v>5.4607508532423212</v>
      </c>
      <c r="F18" s="52">
        <f t="shared" si="1"/>
        <v>17</v>
      </c>
      <c r="G18" s="52">
        <v>17</v>
      </c>
      <c r="H18" s="52" t="s">
        <v>9</v>
      </c>
      <c r="I18" s="211">
        <f>F18/F$14*100</f>
        <v>5.2307692307692308</v>
      </c>
      <c r="J18" s="52">
        <f t="shared" si="2"/>
        <v>12</v>
      </c>
      <c r="K18" s="52">
        <v>12</v>
      </c>
      <c r="L18" s="21" t="s">
        <v>14</v>
      </c>
      <c r="M18" s="211">
        <f>J18/J$14*100</f>
        <v>5.0847457627118651</v>
      </c>
      <c r="N18" s="27">
        <f t="shared" si="3"/>
        <v>23</v>
      </c>
      <c r="O18" s="27">
        <v>22</v>
      </c>
      <c r="P18" s="27">
        <v>1</v>
      </c>
      <c r="Q18" s="21">
        <f>N18/N$14*100</f>
        <v>7.6411960132890364</v>
      </c>
      <c r="R18" s="27">
        <f t="shared" si="4"/>
        <v>24</v>
      </c>
      <c r="S18" s="27">
        <v>22</v>
      </c>
      <c r="T18" s="27">
        <v>2</v>
      </c>
      <c r="U18" s="21">
        <f>R18/R$14*100</f>
        <v>6.8571428571428577</v>
      </c>
    </row>
    <row r="19" spans="1:21" ht="20.100000000000001" customHeight="1">
      <c r="A19" s="113" t="s">
        <v>237</v>
      </c>
      <c r="B19" s="214">
        <f t="shared" si="0"/>
        <v>30</v>
      </c>
      <c r="C19" s="214">
        <v>28</v>
      </c>
      <c r="D19" s="214">
        <v>2</v>
      </c>
      <c r="E19" s="215">
        <f>B19/B$14*100</f>
        <v>10.238907849829351</v>
      </c>
      <c r="F19" s="214">
        <f t="shared" si="1"/>
        <v>52</v>
      </c>
      <c r="G19" s="214">
        <v>48</v>
      </c>
      <c r="H19" s="214">
        <v>4</v>
      </c>
      <c r="I19" s="215">
        <f>F19/F$14*100</f>
        <v>16</v>
      </c>
      <c r="J19" s="214">
        <f t="shared" si="2"/>
        <v>18</v>
      </c>
      <c r="K19" s="214">
        <v>15</v>
      </c>
      <c r="L19" s="214">
        <v>3</v>
      </c>
      <c r="M19" s="215">
        <f>J19/J$14*100</f>
        <v>7.6271186440677967</v>
      </c>
      <c r="N19" s="28">
        <f t="shared" si="3"/>
        <v>19</v>
      </c>
      <c r="O19" s="28">
        <v>19</v>
      </c>
      <c r="P19" s="22" t="s">
        <v>15</v>
      </c>
      <c r="Q19" s="22">
        <f>N19/N$14*100</f>
        <v>6.3122923588039868</v>
      </c>
      <c r="R19" s="28">
        <f t="shared" si="4"/>
        <v>15</v>
      </c>
      <c r="S19" s="28">
        <v>15</v>
      </c>
      <c r="T19" s="178" t="s">
        <v>9</v>
      </c>
      <c r="U19" s="22">
        <f>R19/R$14*100</f>
        <v>4.2857142857142856</v>
      </c>
    </row>
    <row r="20" spans="1:21">
      <c r="A20" s="392" t="s">
        <v>419</v>
      </c>
      <c r="B20" s="392"/>
      <c r="C20" s="392"/>
      <c r="D20" s="392"/>
      <c r="N20" s="218"/>
      <c r="O20" s="218"/>
      <c r="P20" s="218"/>
    </row>
    <row r="21" spans="1:21">
      <c r="A21" s="390" t="s">
        <v>420</v>
      </c>
      <c r="B21" s="339"/>
      <c r="C21" s="339"/>
      <c r="D21" s="339"/>
      <c r="E21" s="339"/>
      <c r="F21" s="339"/>
    </row>
    <row r="22" spans="1:21" ht="20.100000000000001" customHeight="1">
      <c r="C22" s="29"/>
    </row>
    <row r="23" spans="1:21" ht="20.100000000000001" customHeight="1"/>
  </sheetData>
  <mergeCells count="35">
    <mergeCell ref="Q12:Q13"/>
    <mergeCell ref="R12:T12"/>
    <mergeCell ref="R11:U11"/>
    <mergeCell ref="A20:D20"/>
    <mergeCell ref="M12:M13"/>
    <mergeCell ref="J12:L12"/>
    <mergeCell ref="A21:F21"/>
    <mergeCell ref="A11:A13"/>
    <mergeCell ref="B12:D12"/>
    <mergeCell ref="F12:H12"/>
    <mergeCell ref="B11:E11"/>
    <mergeCell ref="F11:I11"/>
    <mergeCell ref="I12:I13"/>
    <mergeCell ref="E12:E13"/>
    <mergeCell ref="U12:U13"/>
    <mergeCell ref="A1:U1"/>
    <mergeCell ref="A2:A4"/>
    <mergeCell ref="B2:E2"/>
    <mergeCell ref="F2:I2"/>
    <mergeCell ref="J2:M2"/>
    <mergeCell ref="N2:Q2"/>
    <mergeCell ref="R2:U2"/>
    <mergeCell ref="B3:D3"/>
    <mergeCell ref="F3:H3"/>
    <mergeCell ref="N3:P3"/>
    <mergeCell ref="J3:L3"/>
    <mergeCell ref="E3:E4"/>
    <mergeCell ref="I3:I4"/>
    <mergeCell ref="R3:T3"/>
    <mergeCell ref="N12:P12"/>
    <mergeCell ref="M3:M4"/>
    <mergeCell ref="Q3:Q4"/>
    <mergeCell ref="U3:U4"/>
    <mergeCell ref="J11:M11"/>
    <mergeCell ref="N11:Q11"/>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53"/>
  <sheetViews>
    <sheetView showGridLines="0" zoomScale="80" zoomScaleNormal="80" zoomScaleSheetLayoutView="68" workbookViewId="0">
      <pane xSplit="1" ySplit="3" topLeftCell="B4" activePane="bottomRight" state="frozen"/>
      <selection activeCell="F17" sqref="F17"/>
      <selection pane="topRight" activeCell="F17" sqref="F17"/>
      <selection pane="bottomLeft" activeCell="F17" sqref="F17"/>
      <selection pane="bottomRight" activeCell="F57" sqref="F57"/>
    </sheetView>
  </sheetViews>
  <sheetFormatPr defaultColWidth="9" defaultRowHeight="15.75"/>
  <cols>
    <col min="1" max="1" width="23.125" style="1" customWidth="1"/>
    <col min="2" max="2" width="8.125" style="44" customWidth="1"/>
    <col min="3" max="3" width="9" style="45" customWidth="1"/>
    <col min="4" max="4" width="8.125" style="44" customWidth="1"/>
    <col min="5" max="5" width="9" style="45" customWidth="1"/>
    <col min="6" max="6" width="8.125" style="44" customWidth="1"/>
    <col min="7" max="7" width="9" style="45" customWidth="1"/>
    <col min="8" max="8" width="8.125" style="44" customWidth="1"/>
    <col min="9" max="9" width="9" style="25" customWidth="1"/>
    <col min="10" max="10" width="8.125" style="44" customWidth="1"/>
    <col min="11" max="11" width="9" style="25" customWidth="1"/>
    <col min="12" max="12" width="8.125" style="44" customWidth="1"/>
    <col min="13" max="13" width="9" style="25" customWidth="1"/>
    <col min="14" max="14" width="8.125" style="44" customWidth="1"/>
    <col min="15" max="15" width="9" style="25" customWidth="1"/>
    <col min="16" max="16" width="8.125" style="44" customWidth="1"/>
    <col min="17" max="17" width="9" style="25" customWidth="1"/>
    <col min="18" max="18" width="8.125" style="44" customWidth="1"/>
    <col min="19" max="19" width="9" style="25" customWidth="1"/>
    <col min="20" max="20" width="8.125" style="44" customWidth="1"/>
    <col min="21" max="21" width="9" style="25" customWidth="1"/>
    <col min="22" max="16384" width="9" style="17"/>
  </cols>
  <sheetData>
    <row r="1" spans="1:21" ht="26.25" customHeight="1">
      <c r="A1" s="297" t="s">
        <v>529</v>
      </c>
      <c r="B1" s="297"/>
      <c r="C1" s="297"/>
      <c r="D1" s="297"/>
      <c r="E1" s="297"/>
      <c r="F1" s="297"/>
      <c r="G1" s="297"/>
      <c r="H1" s="297"/>
      <c r="I1" s="297"/>
      <c r="J1" s="297"/>
      <c r="K1" s="297"/>
      <c r="L1" s="297"/>
      <c r="M1" s="297"/>
      <c r="N1" s="297"/>
      <c r="O1" s="297"/>
      <c r="P1" s="297"/>
      <c r="Q1" s="297"/>
      <c r="R1" s="297"/>
      <c r="S1" s="297"/>
      <c r="T1" s="297"/>
      <c r="U1" s="297"/>
    </row>
    <row r="2" spans="1:21" ht="16.5">
      <c r="A2" s="18"/>
      <c r="B2" s="302" t="s">
        <v>566</v>
      </c>
      <c r="C2" s="302"/>
      <c r="D2" s="302" t="s">
        <v>30</v>
      </c>
      <c r="E2" s="302"/>
      <c r="F2" s="302" t="s">
        <v>31</v>
      </c>
      <c r="G2" s="302"/>
      <c r="H2" s="302" t="s">
        <v>32</v>
      </c>
      <c r="I2" s="302"/>
      <c r="J2" s="302" t="s">
        <v>33</v>
      </c>
      <c r="K2" s="302"/>
      <c r="L2" s="302" t="s">
        <v>34</v>
      </c>
      <c r="M2" s="302"/>
      <c r="N2" s="302" t="s">
        <v>35</v>
      </c>
      <c r="O2" s="302"/>
      <c r="P2" s="302" t="s">
        <v>36</v>
      </c>
      <c r="Q2" s="302"/>
      <c r="R2" s="302" t="s">
        <v>37</v>
      </c>
      <c r="S2" s="302"/>
      <c r="T2" s="302" t="s">
        <v>567</v>
      </c>
      <c r="U2" s="302"/>
    </row>
    <row r="3" spans="1:21">
      <c r="A3" s="30"/>
      <c r="B3" s="197" t="s">
        <v>443</v>
      </c>
      <c r="C3" s="198" t="s">
        <v>4</v>
      </c>
      <c r="D3" s="197" t="s">
        <v>443</v>
      </c>
      <c r="E3" s="198" t="s">
        <v>444</v>
      </c>
      <c r="F3" s="197" t="s">
        <v>443</v>
      </c>
      <c r="G3" s="198" t="s">
        <v>445</v>
      </c>
      <c r="H3" s="197" t="s">
        <v>3</v>
      </c>
      <c r="I3" s="198" t="s">
        <v>4</v>
      </c>
      <c r="J3" s="197" t="s">
        <v>3</v>
      </c>
      <c r="K3" s="198" t="s">
        <v>446</v>
      </c>
      <c r="L3" s="197" t="s">
        <v>443</v>
      </c>
      <c r="M3" s="198" t="s">
        <v>444</v>
      </c>
      <c r="N3" s="197" t="s">
        <v>447</v>
      </c>
      <c r="O3" s="198" t="s">
        <v>4</v>
      </c>
      <c r="P3" s="197" t="s">
        <v>3</v>
      </c>
      <c r="Q3" s="198" t="s">
        <v>448</v>
      </c>
      <c r="R3" s="197" t="s">
        <v>443</v>
      </c>
      <c r="S3" s="198" t="s">
        <v>4</v>
      </c>
      <c r="T3" s="197" t="s">
        <v>443</v>
      </c>
      <c r="U3" s="198" t="s">
        <v>444</v>
      </c>
    </row>
    <row r="4" spans="1:21" ht="18" customHeight="1">
      <c r="A4" s="46" t="s">
        <v>449</v>
      </c>
      <c r="B4" s="199">
        <v>15078</v>
      </c>
      <c r="C4" s="200">
        <f>SUM(C5:C51)</f>
        <v>100.00000000000001</v>
      </c>
      <c r="D4" s="199">
        <v>12038</v>
      </c>
      <c r="E4" s="200">
        <f>SUM(E5:E51)</f>
        <v>100</v>
      </c>
      <c r="F4" s="199">
        <v>10969</v>
      </c>
      <c r="G4" s="200">
        <f>SUM(G5:G51)</f>
        <v>100.00000000000003</v>
      </c>
      <c r="H4" s="199">
        <v>11002</v>
      </c>
      <c r="I4" s="200">
        <f>SUM(I5:I51)</f>
        <v>100.00000000000004</v>
      </c>
      <c r="J4" s="199">
        <v>9775</v>
      </c>
      <c r="K4" s="200">
        <f>SUM(K5:K51)</f>
        <v>100</v>
      </c>
      <c r="L4" s="199">
        <v>10499</v>
      </c>
      <c r="M4" s="200">
        <f>SUM(M5:M51)</f>
        <v>100</v>
      </c>
      <c r="N4" s="199">
        <v>8893</v>
      </c>
      <c r="O4" s="200">
        <f>SUM(O5:O51)</f>
        <v>99.999999999999986</v>
      </c>
      <c r="P4" s="199">
        <v>9441</v>
      </c>
      <c r="Q4" s="200">
        <f>SUM(Q5:Q51)</f>
        <v>99.999999999999943</v>
      </c>
      <c r="R4" s="199">
        <v>10226</v>
      </c>
      <c r="S4" s="200">
        <f>SUM(S5:S51)</f>
        <v>99.999999999999972</v>
      </c>
      <c r="T4" s="199">
        <v>9627</v>
      </c>
      <c r="U4" s="200">
        <f>SUM(U5:U51)</f>
        <v>99.999999999999986</v>
      </c>
    </row>
    <row r="5" spans="1:21" ht="18" customHeight="1">
      <c r="A5" s="201" t="s">
        <v>494</v>
      </c>
      <c r="B5" s="199">
        <v>750</v>
      </c>
      <c r="C5" s="200">
        <f t="shared" ref="C5:C51" si="0">IF(ISERROR(B5/B$4*100)=TRUE,"-",B5/B$4*100)</f>
        <v>4.9741345005968958</v>
      </c>
      <c r="D5" s="199">
        <v>648</v>
      </c>
      <c r="E5" s="200">
        <f t="shared" ref="E5:E51" si="1">IF(ISERROR(D5/D$4*100)=TRUE,"-",D5/D$4*100)</f>
        <v>5.3829539790662899</v>
      </c>
      <c r="F5" s="199">
        <v>557</v>
      </c>
      <c r="G5" s="200">
        <f t="shared" ref="G5:G51" si="2">IF(ISERROR(F5/F$4*100)=TRUE,"-",F5/F$4*100)</f>
        <v>5.0779469413802536</v>
      </c>
      <c r="H5" s="199">
        <v>805</v>
      </c>
      <c r="I5" s="200">
        <f t="shared" ref="I5:I51" si="3">IF(ISERROR(H5/H$4*100)=TRUE,"-",H5/H$4*100)</f>
        <v>7.3168514815488095</v>
      </c>
      <c r="J5" s="199">
        <v>953</v>
      </c>
      <c r="K5" s="200">
        <f t="shared" ref="K5:K51" si="4">IF(ISERROR(J5/J$4*100)=TRUE,"-",J5/J$4*100)</f>
        <v>9.7493606138107403</v>
      </c>
      <c r="L5" s="199">
        <v>1337</v>
      </c>
      <c r="M5" s="200">
        <f t="shared" ref="M5:M51" si="5">IF(ISERROR(L5/L$4*100)=TRUE,"-",L5/L$4*100)</f>
        <v>12.734546147252118</v>
      </c>
      <c r="N5" s="199">
        <v>1375</v>
      </c>
      <c r="O5" s="200">
        <f t="shared" ref="O5:O51" si="6">IF(ISERROR(N5/N$4*100)=TRUE,"-",N5/N$4*100)</f>
        <v>15.461599010457663</v>
      </c>
      <c r="P5" s="199">
        <v>1628</v>
      </c>
      <c r="Q5" s="200">
        <f t="shared" ref="Q5:Q51" si="7">IF(ISERROR(P5/P$4*100)=TRUE,"-",P5/P$4*100)</f>
        <v>17.243936023726299</v>
      </c>
      <c r="R5" s="199">
        <v>1642</v>
      </c>
      <c r="S5" s="200">
        <f t="shared" ref="S5:S51" si="8">IF(ISERROR(R5/R$4*100)=TRUE,"-",R5/R$4*100)</f>
        <v>16.057109329160962</v>
      </c>
      <c r="T5" s="199">
        <v>1633</v>
      </c>
      <c r="U5" s="200">
        <f t="shared" ref="U5:U51" si="9">IF(ISERROR(T5/T$4*100)=TRUE,"-",T5/T$4*100)</f>
        <v>16.962709047470657</v>
      </c>
    </row>
    <row r="6" spans="1:21" ht="18" customHeight="1">
      <c r="A6" s="46" t="s">
        <v>451</v>
      </c>
      <c r="B6" s="199">
        <v>27</v>
      </c>
      <c r="C6" s="200">
        <f t="shared" si="0"/>
        <v>0.17906884202148826</v>
      </c>
      <c r="D6" s="199">
        <v>1</v>
      </c>
      <c r="E6" s="200">
        <f t="shared" si="1"/>
        <v>8.3070277454726713E-3</v>
      </c>
      <c r="F6" s="199">
        <v>17</v>
      </c>
      <c r="G6" s="200">
        <f t="shared" si="2"/>
        <v>0.15498222262740449</v>
      </c>
      <c r="H6" s="199">
        <v>12</v>
      </c>
      <c r="I6" s="200">
        <f t="shared" si="3"/>
        <v>0.10907107798582077</v>
      </c>
      <c r="J6" s="199">
        <v>17</v>
      </c>
      <c r="K6" s="200">
        <f t="shared" si="4"/>
        <v>0.17391304347826086</v>
      </c>
      <c r="L6" s="199">
        <v>121</v>
      </c>
      <c r="M6" s="200">
        <f t="shared" si="5"/>
        <v>1.1524907134012763</v>
      </c>
      <c r="N6" s="199">
        <v>133</v>
      </c>
      <c r="O6" s="200">
        <f t="shared" si="6"/>
        <v>1.4955583042842686</v>
      </c>
      <c r="P6" s="199">
        <v>167</v>
      </c>
      <c r="Q6" s="200">
        <f t="shared" si="7"/>
        <v>1.7688804152102531</v>
      </c>
      <c r="R6" s="199">
        <v>1026</v>
      </c>
      <c r="S6" s="200">
        <f t="shared" si="8"/>
        <v>10.033248582045767</v>
      </c>
      <c r="T6" s="199">
        <v>1263</v>
      </c>
      <c r="U6" s="200">
        <f t="shared" si="9"/>
        <v>13.119351822997819</v>
      </c>
    </row>
    <row r="7" spans="1:21" ht="18" customHeight="1">
      <c r="A7" s="46" t="s">
        <v>450</v>
      </c>
      <c r="B7" s="199">
        <v>4368</v>
      </c>
      <c r="C7" s="200">
        <f t="shared" si="0"/>
        <v>28.969359331476323</v>
      </c>
      <c r="D7" s="199">
        <v>3385</v>
      </c>
      <c r="E7" s="200">
        <f t="shared" si="1"/>
        <v>28.119288918424989</v>
      </c>
      <c r="F7" s="199">
        <v>3155</v>
      </c>
      <c r="G7" s="200">
        <f t="shared" si="2"/>
        <v>28.762877199380071</v>
      </c>
      <c r="H7" s="199">
        <v>2741</v>
      </c>
      <c r="I7" s="200">
        <f t="shared" si="3"/>
        <v>24.913652063261225</v>
      </c>
      <c r="J7" s="199">
        <v>2111</v>
      </c>
      <c r="K7" s="200">
        <f t="shared" si="4"/>
        <v>21.595907928388748</v>
      </c>
      <c r="L7" s="199">
        <v>1823</v>
      </c>
      <c r="M7" s="200">
        <f t="shared" si="5"/>
        <v>17.363558434136582</v>
      </c>
      <c r="N7" s="199">
        <v>1795</v>
      </c>
      <c r="O7" s="200">
        <f t="shared" si="6"/>
        <v>20.184414708197458</v>
      </c>
      <c r="P7" s="199">
        <v>1838</v>
      </c>
      <c r="Q7" s="200">
        <f t="shared" si="7"/>
        <v>19.468276665607455</v>
      </c>
      <c r="R7" s="199">
        <v>1594</v>
      </c>
      <c r="S7" s="200">
        <f t="shared" si="8"/>
        <v>15.587717582632504</v>
      </c>
      <c r="T7" s="199">
        <v>1216</v>
      </c>
      <c r="U7" s="200">
        <f t="shared" si="9"/>
        <v>12.631141580970187</v>
      </c>
    </row>
    <row r="8" spans="1:21" ht="18" customHeight="1">
      <c r="A8" s="201" t="s">
        <v>492</v>
      </c>
      <c r="B8" s="199">
        <v>2407</v>
      </c>
      <c r="C8" s="200">
        <f t="shared" si="0"/>
        <v>15.963655657248971</v>
      </c>
      <c r="D8" s="199">
        <v>1641</v>
      </c>
      <c r="E8" s="200">
        <f t="shared" si="1"/>
        <v>13.631832530320651</v>
      </c>
      <c r="F8" s="199">
        <v>1445</v>
      </c>
      <c r="G8" s="200">
        <f t="shared" si="2"/>
        <v>13.173488923329382</v>
      </c>
      <c r="H8" s="199">
        <v>1207</v>
      </c>
      <c r="I8" s="200">
        <f t="shared" si="3"/>
        <v>10.970732594073805</v>
      </c>
      <c r="J8" s="199">
        <v>1224</v>
      </c>
      <c r="K8" s="200">
        <f t="shared" si="4"/>
        <v>12.521739130434783</v>
      </c>
      <c r="L8" s="199">
        <v>1249</v>
      </c>
      <c r="M8" s="200">
        <f t="shared" si="5"/>
        <v>11.896371082960282</v>
      </c>
      <c r="N8" s="199">
        <v>1098</v>
      </c>
      <c r="O8" s="200">
        <f t="shared" si="6"/>
        <v>12.346789609805466</v>
      </c>
      <c r="P8" s="199">
        <v>1283</v>
      </c>
      <c r="Q8" s="200">
        <f t="shared" si="7"/>
        <v>13.589662112064399</v>
      </c>
      <c r="R8" s="199">
        <v>881</v>
      </c>
      <c r="S8" s="200">
        <f t="shared" si="8"/>
        <v>8.6152943477410524</v>
      </c>
      <c r="T8" s="199">
        <v>892</v>
      </c>
      <c r="U8" s="200">
        <f t="shared" si="9"/>
        <v>9.2656071465669463</v>
      </c>
    </row>
    <row r="9" spans="1:21" ht="18" customHeight="1">
      <c r="A9" s="46" t="s">
        <v>453</v>
      </c>
      <c r="B9" s="199">
        <v>995</v>
      </c>
      <c r="C9" s="200">
        <f t="shared" si="0"/>
        <v>6.5990184374585494</v>
      </c>
      <c r="D9" s="199">
        <v>772</v>
      </c>
      <c r="E9" s="200">
        <f t="shared" si="1"/>
        <v>6.4130254195049012</v>
      </c>
      <c r="F9" s="199">
        <v>755</v>
      </c>
      <c r="G9" s="200">
        <f t="shared" si="2"/>
        <v>6.8830340049229655</v>
      </c>
      <c r="H9" s="199">
        <v>743</v>
      </c>
      <c r="I9" s="200">
        <f t="shared" si="3"/>
        <v>6.7533175786220685</v>
      </c>
      <c r="J9" s="199">
        <v>662</v>
      </c>
      <c r="K9" s="200">
        <f t="shared" si="4"/>
        <v>6.7723785166240402</v>
      </c>
      <c r="L9" s="199">
        <v>662</v>
      </c>
      <c r="M9" s="200">
        <f t="shared" si="5"/>
        <v>6.3053624154681396</v>
      </c>
      <c r="N9" s="199">
        <v>617</v>
      </c>
      <c r="O9" s="200">
        <f t="shared" si="6"/>
        <v>6.9380411559653661</v>
      </c>
      <c r="P9" s="199">
        <v>593</v>
      </c>
      <c r="Q9" s="200">
        <f t="shared" si="7"/>
        <v>6.2811142887406</v>
      </c>
      <c r="R9" s="199">
        <v>860</v>
      </c>
      <c r="S9" s="200">
        <f t="shared" si="8"/>
        <v>8.4099354586348518</v>
      </c>
      <c r="T9" s="199">
        <v>783</v>
      </c>
      <c r="U9" s="200">
        <f t="shared" si="9"/>
        <v>8.1333748831411654</v>
      </c>
    </row>
    <row r="10" spans="1:21" ht="18" customHeight="1">
      <c r="A10" s="46" t="s">
        <v>452</v>
      </c>
      <c r="B10" s="199">
        <v>1655</v>
      </c>
      <c r="C10" s="200">
        <f t="shared" si="0"/>
        <v>10.976256797983817</v>
      </c>
      <c r="D10" s="199">
        <v>1519</v>
      </c>
      <c r="E10" s="200">
        <f t="shared" si="1"/>
        <v>12.618375145372983</v>
      </c>
      <c r="F10" s="199">
        <v>1381</v>
      </c>
      <c r="G10" s="200">
        <f t="shared" si="2"/>
        <v>12.590026438143859</v>
      </c>
      <c r="H10" s="199">
        <v>1939</v>
      </c>
      <c r="I10" s="200">
        <f t="shared" si="3"/>
        <v>17.624068351208873</v>
      </c>
      <c r="J10" s="199">
        <v>1835</v>
      </c>
      <c r="K10" s="200">
        <f t="shared" si="4"/>
        <v>18.772378516624041</v>
      </c>
      <c r="L10" s="199">
        <v>1782</v>
      </c>
      <c r="M10" s="200">
        <f t="shared" si="5"/>
        <v>16.973045051909704</v>
      </c>
      <c r="N10" s="199">
        <v>847</v>
      </c>
      <c r="O10" s="200">
        <f t="shared" si="6"/>
        <v>9.5243449904419197</v>
      </c>
      <c r="P10" s="199">
        <v>940</v>
      </c>
      <c r="Q10" s="200">
        <f t="shared" si="7"/>
        <v>9.9565723969918452</v>
      </c>
      <c r="R10" s="199">
        <v>949</v>
      </c>
      <c r="S10" s="200">
        <f t="shared" si="8"/>
        <v>9.2802659886563674</v>
      </c>
      <c r="T10" s="199">
        <v>664</v>
      </c>
      <c r="U10" s="200">
        <f t="shared" si="9"/>
        <v>6.8972681001350375</v>
      </c>
    </row>
    <row r="11" spans="1:21" ht="18" customHeight="1">
      <c r="A11" s="46" t="s">
        <v>455</v>
      </c>
      <c r="B11" s="199">
        <v>463</v>
      </c>
      <c r="C11" s="200">
        <f t="shared" si="0"/>
        <v>3.070699031701817</v>
      </c>
      <c r="D11" s="199">
        <v>307</v>
      </c>
      <c r="E11" s="200">
        <f t="shared" si="1"/>
        <v>2.5502575178601097</v>
      </c>
      <c r="F11" s="199">
        <v>303</v>
      </c>
      <c r="G11" s="200">
        <f t="shared" si="2"/>
        <v>2.7623302033002095</v>
      </c>
      <c r="H11" s="199">
        <v>231</v>
      </c>
      <c r="I11" s="200">
        <f t="shared" si="3"/>
        <v>2.0996182512270494</v>
      </c>
      <c r="J11" s="199">
        <v>296</v>
      </c>
      <c r="K11" s="200">
        <f t="shared" si="4"/>
        <v>3.0281329923273659</v>
      </c>
      <c r="L11" s="199">
        <v>313</v>
      </c>
      <c r="M11" s="200">
        <f t="shared" si="5"/>
        <v>2.9812363082198305</v>
      </c>
      <c r="N11" s="199">
        <v>343</v>
      </c>
      <c r="O11" s="200">
        <f t="shared" si="6"/>
        <v>3.8569661531541661</v>
      </c>
      <c r="P11" s="199">
        <v>371</v>
      </c>
      <c r="Q11" s="200">
        <f t="shared" si="7"/>
        <v>3.9296684673233764</v>
      </c>
      <c r="R11" s="199">
        <v>443</v>
      </c>
      <c r="S11" s="200">
        <f t="shared" si="8"/>
        <v>4.3320946606688828</v>
      </c>
      <c r="T11" s="199">
        <v>506</v>
      </c>
      <c r="U11" s="200">
        <f t="shared" si="9"/>
        <v>5.2560506907655551</v>
      </c>
    </row>
    <row r="12" spans="1:21" ht="18" customHeight="1">
      <c r="A12" s="46" t="s">
        <v>454</v>
      </c>
      <c r="B12" s="199">
        <v>778</v>
      </c>
      <c r="C12" s="200">
        <f t="shared" si="0"/>
        <v>5.1598355219525134</v>
      </c>
      <c r="D12" s="199">
        <v>795</v>
      </c>
      <c r="E12" s="200">
        <f t="shared" si="1"/>
        <v>6.6040870576507729</v>
      </c>
      <c r="F12" s="199">
        <v>770</v>
      </c>
      <c r="G12" s="200">
        <f t="shared" si="2"/>
        <v>7.019783024888322</v>
      </c>
      <c r="H12" s="199">
        <v>746</v>
      </c>
      <c r="I12" s="200">
        <f t="shared" si="3"/>
        <v>6.7805853481185245</v>
      </c>
      <c r="J12" s="199">
        <v>611</v>
      </c>
      <c r="K12" s="200">
        <f t="shared" si="4"/>
        <v>6.250639386189258</v>
      </c>
      <c r="L12" s="199">
        <v>750</v>
      </c>
      <c r="M12" s="200">
        <f t="shared" si="5"/>
        <v>7.1435374797599778</v>
      </c>
      <c r="N12" s="199">
        <v>611</v>
      </c>
      <c r="O12" s="200">
        <f t="shared" si="6"/>
        <v>6.8705723602833695</v>
      </c>
      <c r="P12" s="199">
        <v>562</v>
      </c>
      <c r="Q12" s="200">
        <f t="shared" si="7"/>
        <v>5.9527592416057624</v>
      </c>
      <c r="R12" s="199">
        <v>520</v>
      </c>
      <c r="S12" s="200">
        <f t="shared" si="8"/>
        <v>5.0850772540582829</v>
      </c>
      <c r="T12" s="199">
        <v>365</v>
      </c>
      <c r="U12" s="200">
        <f t="shared" si="9"/>
        <v>3.7914199646826638</v>
      </c>
    </row>
    <row r="13" spans="1:21" ht="18" customHeight="1">
      <c r="A13" s="46" t="s">
        <v>456</v>
      </c>
      <c r="B13" s="199">
        <v>329</v>
      </c>
      <c r="C13" s="200">
        <f t="shared" si="0"/>
        <v>2.1819870009285052</v>
      </c>
      <c r="D13" s="199">
        <v>346</v>
      </c>
      <c r="E13" s="200">
        <f t="shared" si="1"/>
        <v>2.8742315999335437</v>
      </c>
      <c r="F13" s="199">
        <v>312</v>
      </c>
      <c r="G13" s="200">
        <f t="shared" si="2"/>
        <v>2.8443796152794238</v>
      </c>
      <c r="H13" s="199">
        <v>306</v>
      </c>
      <c r="I13" s="200">
        <f t="shared" si="3"/>
        <v>2.7813124886384295</v>
      </c>
      <c r="J13" s="199">
        <v>299</v>
      </c>
      <c r="K13" s="200">
        <f t="shared" si="4"/>
        <v>3.0588235294117649</v>
      </c>
      <c r="L13" s="199">
        <v>268</v>
      </c>
      <c r="M13" s="200">
        <f t="shared" si="5"/>
        <v>2.5526240594342315</v>
      </c>
      <c r="N13" s="199">
        <v>292</v>
      </c>
      <c r="O13" s="200">
        <f t="shared" si="6"/>
        <v>3.2834813898571911</v>
      </c>
      <c r="P13" s="199">
        <v>283</v>
      </c>
      <c r="Q13" s="200">
        <f t="shared" si="7"/>
        <v>2.9975638173922254</v>
      </c>
      <c r="R13" s="199">
        <v>291</v>
      </c>
      <c r="S13" s="200">
        <f t="shared" si="8"/>
        <v>2.8456874633287699</v>
      </c>
      <c r="T13" s="199">
        <v>345</v>
      </c>
      <c r="U13" s="200">
        <f t="shared" si="9"/>
        <v>3.5836709255219694</v>
      </c>
    </row>
    <row r="14" spans="1:21" ht="18" customHeight="1">
      <c r="A14" s="46" t="s">
        <v>459</v>
      </c>
      <c r="B14" s="199">
        <v>154</v>
      </c>
      <c r="C14" s="200">
        <f t="shared" si="0"/>
        <v>1.021355617455896</v>
      </c>
      <c r="D14" s="199">
        <v>94</v>
      </c>
      <c r="E14" s="200">
        <f t="shared" si="1"/>
        <v>0.78086060807443092</v>
      </c>
      <c r="F14" s="199">
        <v>104</v>
      </c>
      <c r="G14" s="200">
        <f t="shared" si="2"/>
        <v>0.94812653842647454</v>
      </c>
      <c r="H14" s="199">
        <v>228</v>
      </c>
      <c r="I14" s="200">
        <f t="shared" si="3"/>
        <v>2.0723504817305947</v>
      </c>
      <c r="J14" s="199">
        <v>106</v>
      </c>
      <c r="K14" s="200">
        <f t="shared" si="4"/>
        <v>1.0843989769820972</v>
      </c>
      <c r="L14" s="199">
        <v>230</v>
      </c>
      <c r="M14" s="200">
        <f t="shared" si="5"/>
        <v>2.1906848271263932</v>
      </c>
      <c r="N14" s="199">
        <v>114</v>
      </c>
      <c r="O14" s="200">
        <f t="shared" si="6"/>
        <v>1.2819071179579444</v>
      </c>
      <c r="P14" s="199">
        <v>81</v>
      </c>
      <c r="Q14" s="200">
        <f t="shared" si="7"/>
        <v>0.85795996186844614</v>
      </c>
      <c r="R14" s="199">
        <v>165</v>
      </c>
      <c r="S14" s="200">
        <f t="shared" si="8"/>
        <v>1.6135341286915703</v>
      </c>
      <c r="T14" s="199">
        <v>247</v>
      </c>
      <c r="U14" s="200">
        <f t="shared" si="9"/>
        <v>2.5657006336345693</v>
      </c>
    </row>
    <row r="15" spans="1:21" ht="18" customHeight="1">
      <c r="A15" s="46" t="s">
        <v>457</v>
      </c>
      <c r="B15" s="199">
        <v>105</v>
      </c>
      <c r="C15" s="200">
        <f t="shared" si="0"/>
        <v>0.69637883008356549</v>
      </c>
      <c r="D15" s="199">
        <v>129</v>
      </c>
      <c r="E15" s="200">
        <f t="shared" si="1"/>
        <v>1.0716065791659743</v>
      </c>
      <c r="F15" s="199">
        <v>154</v>
      </c>
      <c r="G15" s="200">
        <f t="shared" si="2"/>
        <v>1.4039566049776642</v>
      </c>
      <c r="H15" s="199">
        <v>131</v>
      </c>
      <c r="I15" s="200">
        <f t="shared" si="3"/>
        <v>1.1906926013452099</v>
      </c>
      <c r="J15" s="199">
        <v>180</v>
      </c>
      <c r="K15" s="200">
        <f t="shared" si="4"/>
        <v>1.8414322250639386</v>
      </c>
      <c r="L15" s="199">
        <v>300</v>
      </c>
      <c r="M15" s="200">
        <f t="shared" si="5"/>
        <v>2.8574149919039908</v>
      </c>
      <c r="N15" s="199">
        <v>205</v>
      </c>
      <c r="O15" s="200">
        <f t="shared" si="6"/>
        <v>2.3051838524682333</v>
      </c>
      <c r="P15" s="199">
        <v>192</v>
      </c>
      <c r="Q15" s="200">
        <f t="shared" si="7"/>
        <v>2.0336828725770575</v>
      </c>
      <c r="R15" s="199">
        <v>240</v>
      </c>
      <c r="S15" s="200">
        <f t="shared" si="8"/>
        <v>2.3469587326422845</v>
      </c>
      <c r="T15" s="199">
        <v>228</v>
      </c>
      <c r="U15" s="200">
        <f t="shared" si="9"/>
        <v>2.3683390464319101</v>
      </c>
    </row>
    <row r="16" spans="1:21" ht="18" customHeight="1">
      <c r="A16" s="46" t="s">
        <v>458</v>
      </c>
      <c r="B16" s="199">
        <v>220</v>
      </c>
      <c r="C16" s="200">
        <f t="shared" si="0"/>
        <v>1.4590794535084228</v>
      </c>
      <c r="D16" s="199">
        <v>151</v>
      </c>
      <c r="E16" s="200">
        <f t="shared" si="1"/>
        <v>1.2543611895663731</v>
      </c>
      <c r="F16" s="199">
        <v>155</v>
      </c>
      <c r="G16" s="200">
        <f t="shared" si="2"/>
        <v>1.4130732063086882</v>
      </c>
      <c r="H16" s="199">
        <v>119</v>
      </c>
      <c r="I16" s="200">
        <f t="shared" si="3"/>
        <v>1.0816215233593891</v>
      </c>
      <c r="J16" s="199">
        <v>123</v>
      </c>
      <c r="K16" s="200">
        <f t="shared" si="4"/>
        <v>1.2583120204603579</v>
      </c>
      <c r="L16" s="199">
        <v>147</v>
      </c>
      <c r="M16" s="200">
        <f t="shared" si="5"/>
        <v>1.4001333460329555</v>
      </c>
      <c r="N16" s="199">
        <v>225</v>
      </c>
      <c r="O16" s="200">
        <f t="shared" si="6"/>
        <v>2.5300798380748906</v>
      </c>
      <c r="P16" s="199">
        <v>201</v>
      </c>
      <c r="Q16" s="200">
        <f t="shared" si="7"/>
        <v>2.1290117572291067</v>
      </c>
      <c r="R16" s="199">
        <v>177</v>
      </c>
      <c r="S16" s="200">
        <f t="shared" si="8"/>
        <v>1.7308820653236845</v>
      </c>
      <c r="T16" s="199">
        <v>205</v>
      </c>
      <c r="U16" s="200">
        <f t="shared" si="9"/>
        <v>2.1294276513971124</v>
      </c>
    </row>
    <row r="17" spans="1:21" ht="18" customHeight="1">
      <c r="A17" s="46" t="s">
        <v>460</v>
      </c>
      <c r="B17" s="199">
        <v>151</v>
      </c>
      <c r="C17" s="200">
        <f t="shared" si="0"/>
        <v>1.0014590794535083</v>
      </c>
      <c r="D17" s="199">
        <v>104</v>
      </c>
      <c r="E17" s="200">
        <f t="shared" si="1"/>
        <v>0.86393088552915775</v>
      </c>
      <c r="F17" s="199">
        <v>62</v>
      </c>
      <c r="G17" s="200">
        <f t="shared" si="2"/>
        <v>0.56522928252347526</v>
      </c>
      <c r="H17" s="199">
        <v>67</v>
      </c>
      <c r="I17" s="200">
        <f t="shared" si="3"/>
        <v>0.60898018542083265</v>
      </c>
      <c r="J17" s="199">
        <v>59</v>
      </c>
      <c r="K17" s="200">
        <f t="shared" si="4"/>
        <v>0.60358056265984661</v>
      </c>
      <c r="L17" s="199">
        <v>58</v>
      </c>
      <c r="M17" s="200">
        <f t="shared" si="5"/>
        <v>0.55243356510143826</v>
      </c>
      <c r="N17" s="199">
        <v>117</v>
      </c>
      <c r="O17" s="200">
        <f t="shared" si="6"/>
        <v>1.315641515798943</v>
      </c>
      <c r="P17" s="199">
        <v>116</v>
      </c>
      <c r="Q17" s="200">
        <f t="shared" si="7"/>
        <v>1.2286834021819724</v>
      </c>
      <c r="R17" s="199">
        <v>125</v>
      </c>
      <c r="S17" s="200">
        <f t="shared" si="8"/>
        <v>1.2223743399178564</v>
      </c>
      <c r="T17" s="199">
        <v>116</v>
      </c>
      <c r="U17" s="200">
        <f t="shared" si="9"/>
        <v>1.2049444271320244</v>
      </c>
    </row>
    <row r="18" spans="1:21" ht="18" customHeight="1">
      <c r="A18" s="46" t="s">
        <v>461</v>
      </c>
      <c r="B18" s="199">
        <v>242</v>
      </c>
      <c r="C18" s="200">
        <f t="shared" si="0"/>
        <v>1.6049873988592651</v>
      </c>
      <c r="D18" s="199">
        <v>170</v>
      </c>
      <c r="E18" s="200">
        <f t="shared" si="1"/>
        <v>1.4121947167303539</v>
      </c>
      <c r="F18" s="199">
        <v>171</v>
      </c>
      <c r="G18" s="200">
        <f t="shared" si="2"/>
        <v>1.5589388276050689</v>
      </c>
      <c r="H18" s="199">
        <v>147</v>
      </c>
      <c r="I18" s="200">
        <f t="shared" si="3"/>
        <v>1.3361207053263042</v>
      </c>
      <c r="J18" s="199">
        <v>109</v>
      </c>
      <c r="K18" s="200">
        <f t="shared" si="4"/>
        <v>1.1150895140664963</v>
      </c>
      <c r="L18" s="199">
        <v>103</v>
      </c>
      <c r="M18" s="200">
        <f t="shared" si="5"/>
        <v>0.98104581388703693</v>
      </c>
      <c r="N18" s="199">
        <v>111</v>
      </c>
      <c r="O18" s="200">
        <f t="shared" si="6"/>
        <v>1.2481727201169459</v>
      </c>
      <c r="P18" s="199">
        <v>107</v>
      </c>
      <c r="Q18" s="200">
        <f t="shared" si="7"/>
        <v>1.1333545175299227</v>
      </c>
      <c r="R18" s="199">
        <v>68</v>
      </c>
      <c r="S18" s="200">
        <f t="shared" si="8"/>
        <v>0.66497164091531391</v>
      </c>
      <c r="T18" s="199">
        <v>69</v>
      </c>
      <c r="U18" s="200">
        <f t="shared" si="9"/>
        <v>0.71673418510439391</v>
      </c>
    </row>
    <row r="19" spans="1:21" ht="18" customHeight="1">
      <c r="A19" s="46" t="s">
        <v>462</v>
      </c>
      <c r="B19" s="199">
        <v>89</v>
      </c>
      <c r="C19" s="200">
        <f t="shared" si="0"/>
        <v>0.59026396073749832</v>
      </c>
      <c r="D19" s="199">
        <v>82</v>
      </c>
      <c r="E19" s="200">
        <f t="shared" si="1"/>
        <v>0.68117627512875889</v>
      </c>
      <c r="F19" s="199">
        <v>72</v>
      </c>
      <c r="G19" s="200">
        <f t="shared" si="2"/>
        <v>0.65639529583371314</v>
      </c>
      <c r="H19" s="199">
        <v>79</v>
      </c>
      <c r="I19" s="200">
        <f t="shared" si="3"/>
        <v>0.71805126340665337</v>
      </c>
      <c r="J19" s="199">
        <v>61</v>
      </c>
      <c r="K19" s="200">
        <f t="shared" si="4"/>
        <v>0.62404092071611261</v>
      </c>
      <c r="L19" s="199">
        <v>50</v>
      </c>
      <c r="M19" s="200">
        <f t="shared" si="5"/>
        <v>0.47623583198399849</v>
      </c>
      <c r="N19" s="199">
        <v>55</v>
      </c>
      <c r="O19" s="200">
        <f t="shared" si="6"/>
        <v>0.61846396041830654</v>
      </c>
      <c r="P19" s="199">
        <v>49</v>
      </c>
      <c r="Q19" s="200">
        <f t="shared" si="7"/>
        <v>0.51901281643893649</v>
      </c>
      <c r="R19" s="199">
        <v>57</v>
      </c>
      <c r="S19" s="200">
        <f t="shared" si="8"/>
        <v>0.55740269900254258</v>
      </c>
      <c r="T19" s="199">
        <v>53</v>
      </c>
      <c r="U19" s="200">
        <f t="shared" si="9"/>
        <v>0.55053495377583883</v>
      </c>
    </row>
    <row r="20" spans="1:21" ht="18" customHeight="1">
      <c r="A20" s="46" t="s">
        <v>466</v>
      </c>
      <c r="B20" s="199">
        <v>69</v>
      </c>
      <c r="C20" s="200">
        <f t="shared" si="0"/>
        <v>0.45762037405491446</v>
      </c>
      <c r="D20" s="199">
        <v>48</v>
      </c>
      <c r="E20" s="200">
        <f t="shared" si="1"/>
        <v>0.39873733178268816</v>
      </c>
      <c r="F20" s="199">
        <v>44</v>
      </c>
      <c r="G20" s="200">
        <f t="shared" si="2"/>
        <v>0.40113045856504692</v>
      </c>
      <c r="H20" s="199">
        <v>40</v>
      </c>
      <c r="I20" s="200">
        <f t="shared" si="3"/>
        <v>0.36357025995273584</v>
      </c>
      <c r="J20" s="199">
        <v>39</v>
      </c>
      <c r="K20" s="200">
        <f t="shared" si="4"/>
        <v>0.39897698209718668</v>
      </c>
      <c r="L20" s="199">
        <v>28</v>
      </c>
      <c r="M20" s="200">
        <f t="shared" si="5"/>
        <v>0.26669206591103917</v>
      </c>
      <c r="N20" s="199">
        <v>25</v>
      </c>
      <c r="O20" s="200">
        <f t="shared" si="6"/>
        <v>0.28111998200832111</v>
      </c>
      <c r="P20" s="199">
        <v>33</v>
      </c>
      <c r="Q20" s="200">
        <f t="shared" si="7"/>
        <v>0.34953924372418177</v>
      </c>
      <c r="R20" s="199">
        <v>32</v>
      </c>
      <c r="S20" s="200">
        <f t="shared" si="8"/>
        <v>0.31292783101897126</v>
      </c>
      <c r="T20" s="199">
        <v>47</v>
      </c>
      <c r="U20" s="200">
        <f t="shared" si="9"/>
        <v>0.48821024202763064</v>
      </c>
    </row>
    <row r="21" spans="1:21" ht="18" customHeight="1">
      <c r="A21" s="46" t="s">
        <v>464</v>
      </c>
      <c r="B21" s="199">
        <v>61</v>
      </c>
      <c r="C21" s="200">
        <f t="shared" si="0"/>
        <v>0.40456293938188087</v>
      </c>
      <c r="D21" s="199">
        <v>43</v>
      </c>
      <c r="E21" s="200">
        <f t="shared" si="1"/>
        <v>0.3572021930553248</v>
      </c>
      <c r="F21" s="199">
        <v>35</v>
      </c>
      <c r="G21" s="200">
        <f t="shared" si="2"/>
        <v>0.31908104658583281</v>
      </c>
      <c r="H21" s="199">
        <v>27</v>
      </c>
      <c r="I21" s="200">
        <f t="shared" si="3"/>
        <v>0.24540992546809673</v>
      </c>
      <c r="J21" s="199">
        <v>34</v>
      </c>
      <c r="K21" s="200">
        <f t="shared" si="4"/>
        <v>0.34782608695652173</v>
      </c>
      <c r="L21" s="199">
        <v>46</v>
      </c>
      <c r="M21" s="200">
        <f t="shared" si="5"/>
        <v>0.43813696542527858</v>
      </c>
      <c r="N21" s="199">
        <v>51</v>
      </c>
      <c r="O21" s="200">
        <f t="shared" si="6"/>
        <v>0.57348476329697518</v>
      </c>
      <c r="P21" s="199">
        <v>35</v>
      </c>
      <c r="Q21" s="200">
        <f t="shared" si="7"/>
        <v>0.37072344031352611</v>
      </c>
      <c r="R21" s="199">
        <v>42</v>
      </c>
      <c r="S21" s="200">
        <f t="shared" si="8"/>
        <v>0.41071777821239974</v>
      </c>
      <c r="T21" s="199">
        <v>44</v>
      </c>
      <c r="U21" s="200">
        <f t="shared" si="9"/>
        <v>0.45704788615352654</v>
      </c>
    </row>
    <row r="22" spans="1:21" ht="18" customHeight="1">
      <c r="A22" s="46" t="s">
        <v>463</v>
      </c>
      <c r="B22" s="199">
        <v>11</v>
      </c>
      <c r="C22" s="200">
        <f t="shared" si="0"/>
        <v>7.2953972675421142E-2</v>
      </c>
      <c r="D22" s="199">
        <v>3</v>
      </c>
      <c r="E22" s="200">
        <f t="shared" si="1"/>
        <v>2.492108323641801E-2</v>
      </c>
      <c r="F22" s="199">
        <v>10</v>
      </c>
      <c r="G22" s="200">
        <f t="shared" si="2"/>
        <v>9.1166013310237937E-2</v>
      </c>
      <c r="H22" s="199">
        <v>20</v>
      </c>
      <c r="I22" s="200">
        <f t="shared" si="3"/>
        <v>0.18178512997636792</v>
      </c>
      <c r="J22" s="199">
        <v>30</v>
      </c>
      <c r="K22" s="200">
        <f t="shared" si="4"/>
        <v>0.30690537084398978</v>
      </c>
      <c r="L22" s="199">
        <v>20</v>
      </c>
      <c r="M22" s="200">
        <f t="shared" si="5"/>
        <v>0.1904943327935994</v>
      </c>
      <c r="N22" s="199">
        <v>36</v>
      </c>
      <c r="O22" s="200">
        <f t="shared" si="6"/>
        <v>0.40481277409198252</v>
      </c>
      <c r="P22" s="199">
        <v>27</v>
      </c>
      <c r="Q22" s="200">
        <f t="shared" si="7"/>
        <v>0.2859866539561487</v>
      </c>
      <c r="R22" s="199">
        <v>42</v>
      </c>
      <c r="S22" s="200">
        <f t="shared" si="8"/>
        <v>0.41071777821239974</v>
      </c>
      <c r="T22" s="199">
        <v>36</v>
      </c>
      <c r="U22" s="200">
        <f t="shared" si="9"/>
        <v>0.373948270489249</v>
      </c>
    </row>
    <row r="23" spans="1:21" ht="18" customHeight="1">
      <c r="A23" s="46" t="s">
        <v>465</v>
      </c>
      <c r="B23" s="199">
        <v>31</v>
      </c>
      <c r="C23" s="200">
        <f t="shared" si="0"/>
        <v>0.20559755935800503</v>
      </c>
      <c r="D23" s="199">
        <v>42</v>
      </c>
      <c r="E23" s="200">
        <f t="shared" si="1"/>
        <v>0.34889516530985215</v>
      </c>
      <c r="F23" s="199">
        <v>39</v>
      </c>
      <c r="G23" s="200">
        <f t="shared" si="2"/>
        <v>0.35554745190992798</v>
      </c>
      <c r="H23" s="199">
        <v>48</v>
      </c>
      <c r="I23" s="200">
        <f t="shared" si="3"/>
        <v>0.4362843119432831</v>
      </c>
      <c r="J23" s="199">
        <v>30</v>
      </c>
      <c r="K23" s="200">
        <f t="shared" si="4"/>
        <v>0.30690537084398978</v>
      </c>
      <c r="L23" s="199">
        <v>66</v>
      </c>
      <c r="M23" s="200">
        <f t="shared" si="5"/>
        <v>0.62863129821887798</v>
      </c>
      <c r="N23" s="199">
        <v>40</v>
      </c>
      <c r="O23" s="200">
        <f t="shared" si="6"/>
        <v>0.44979197121331382</v>
      </c>
      <c r="P23" s="199">
        <v>42</v>
      </c>
      <c r="Q23" s="200">
        <f t="shared" si="7"/>
        <v>0.44486812837623135</v>
      </c>
      <c r="R23" s="199">
        <v>34</v>
      </c>
      <c r="S23" s="200">
        <f t="shared" si="8"/>
        <v>0.33248582045765696</v>
      </c>
      <c r="T23" s="199">
        <v>34</v>
      </c>
      <c r="U23" s="200">
        <f t="shared" si="9"/>
        <v>0.3531733665731796</v>
      </c>
    </row>
    <row r="24" spans="1:21" ht="18" customHeight="1">
      <c r="A24" s="46" t="s">
        <v>468</v>
      </c>
      <c r="B24" s="199">
        <v>309</v>
      </c>
      <c r="C24" s="200">
        <f t="shared" si="0"/>
        <v>2.049343414245921</v>
      </c>
      <c r="D24" s="199">
        <v>101</v>
      </c>
      <c r="E24" s="200">
        <f t="shared" si="1"/>
        <v>0.83900980229273969</v>
      </c>
      <c r="F24" s="199">
        <v>133</v>
      </c>
      <c r="G24" s="200">
        <f t="shared" si="2"/>
        <v>1.2125079770261646</v>
      </c>
      <c r="H24" s="199">
        <v>64</v>
      </c>
      <c r="I24" s="200">
        <f t="shared" si="3"/>
        <v>0.58171241592437739</v>
      </c>
      <c r="J24" s="199">
        <v>64</v>
      </c>
      <c r="K24" s="200">
        <f t="shared" si="4"/>
        <v>0.65473145780051156</v>
      </c>
      <c r="L24" s="199">
        <v>90</v>
      </c>
      <c r="M24" s="200">
        <f t="shared" si="5"/>
        <v>0.85722449757119723</v>
      </c>
      <c r="N24" s="199">
        <v>79</v>
      </c>
      <c r="O24" s="200">
        <f t="shared" si="6"/>
        <v>0.88833914314629481</v>
      </c>
      <c r="P24" s="199">
        <v>45</v>
      </c>
      <c r="Q24" s="200">
        <f t="shared" si="7"/>
        <v>0.47664442326024786</v>
      </c>
      <c r="R24" s="199">
        <v>28</v>
      </c>
      <c r="S24" s="200">
        <f t="shared" si="8"/>
        <v>0.27381185214159987</v>
      </c>
      <c r="T24" s="199">
        <v>30</v>
      </c>
      <c r="U24" s="200">
        <f t="shared" si="9"/>
        <v>0.31162355874104081</v>
      </c>
    </row>
    <row r="25" spans="1:21" ht="18" customHeight="1">
      <c r="A25" s="46" t="s">
        <v>469</v>
      </c>
      <c r="B25" s="199">
        <v>30</v>
      </c>
      <c r="C25" s="200">
        <f t="shared" si="0"/>
        <v>0.19896538002387587</v>
      </c>
      <c r="D25" s="199">
        <v>46</v>
      </c>
      <c r="E25" s="200">
        <f t="shared" si="1"/>
        <v>0.38212327629174281</v>
      </c>
      <c r="F25" s="199">
        <v>31</v>
      </c>
      <c r="G25" s="200">
        <f t="shared" si="2"/>
        <v>0.28261464126173763</v>
      </c>
      <c r="H25" s="199">
        <v>32</v>
      </c>
      <c r="I25" s="200">
        <f t="shared" si="3"/>
        <v>0.2908562079621887</v>
      </c>
      <c r="J25" s="199">
        <v>36</v>
      </c>
      <c r="K25" s="200">
        <f t="shared" si="4"/>
        <v>0.36828644501278773</v>
      </c>
      <c r="L25" s="199">
        <v>32</v>
      </c>
      <c r="M25" s="200">
        <f t="shared" si="5"/>
        <v>0.30479093246975902</v>
      </c>
      <c r="N25" s="199">
        <v>27</v>
      </c>
      <c r="O25" s="200">
        <f t="shared" si="6"/>
        <v>0.30360958056898685</v>
      </c>
      <c r="P25" s="199">
        <v>30</v>
      </c>
      <c r="Q25" s="200">
        <f t="shared" si="7"/>
        <v>0.31776294884016526</v>
      </c>
      <c r="R25" s="199">
        <v>26</v>
      </c>
      <c r="S25" s="200">
        <f t="shared" si="8"/>
        <v>0.25425386270291411</v>
      </c>
      <c r="T25" s="199">
        <v>27</v>
      </c>
      <c r="U25" s="200">
        <f t="shared" si="9"/>
        <v>0.28046120286693677</v>
      </c>
    </row>
    <row r="26" spans="1:21" ht="16.5">
      <c r="A26" s="201" t="s">
        <v>496</v>
      </c>
      <c r="B26" s="199">
        <v>8</v>
      </c>
      <c r="C26" s="200">
        <f t="shared" si="0"/>
        <v>5.3057434673033553E-2</v>
      </c>
      <c r="D26" s="199">
        <v>17</v>
      </c>
      <c r="E26" s="200">
        <f t="shared" si="1"/>
        <v>0.14121947167303539</v>
      </c>
      <c r="F26" s="199">
        <v>14</v>
      </c>
      <c r="G26" s="200">
        <f t="shared" si="2"/>
        <v>0.12763241863433314</v>
      </c>
      <c r="H26" s="199">
        <v>10</v>
      </c>
      <c r="I26" s="200">
        <f t="shared" si="3"/>
        <v>9.089256498818396E-2</v>
      </c>
      <c r="J26" s="199">
        <v>3</v>
      </c>
      <c r="K26" s="200">
        <f t="shared" si="4"/>
        <v>3.0690537084398974E-2</v>
      </c>
      <c r="L26" s="199">
        <v>2</v>
      </c>
      <c r="M26" s="200">
        <f t="shared" si="5"/>
        <v>1.9049433279359939E-2</v>
      </c>
      <c r="N26" s="199" t="s">
        <v>9</v>
      </c>
      <c r="O26" s="200" t="str">
        <f t="shared" si="6"/>
        <v>-</v>
      </c>
      <c r="P26" s="199">
        <v>1</v>
      </c>
      <c r="Q26" s="200">
        <f t="shared" si="7"/>
        <v>1.0592098294672173E-2</v>
      </c>
      <c r="R26" s="199">
        <v>8</v>
      </c>
      <c r="S26" s="200">
        <f t="shared" si="8"/>
        <v>7.8231957754742815E-2</v>
      </c>
      <c r="T26" s="199">
        <v>24</v>
      </c>
      <c r="U26" s="200">
        <f t="shared" si="9"/>
        <v>0.24929884699283264</v>
      </c>
    </row>
    <row r="27" spans="1:21" ht="16.5">
      <c r="A27" s="46" t="s">
        <v>471</v>
      </c>
      <c r="B27" s="199">
        <v>97</v>
      </c>
      <c r="C27" s="200">
        <f t="shared" si="0"/>
        <v>0.6433213954105319</v>
      </c>
      <c r="D27" s="199">
        <v>76</v>
      </c>
      <c r="E27" s="200">
        <f t="shared" si="1"/>
        <v>0.63133410865592299</v>
      </c>
      <c r="F27" s="199">
        <v>18</v>
      </c>
      <c r="G27" s="200">
        <f t="shared" si="2"/>
        <v>0.16409882395842829</v>
      </c>
      <c r="H27" s="199">
        <v>40</v>
      </c>
      <c r="I27" s="200">
        <f t="shared" si="3"/>
        <v>0.36357025995273584</v>
      </c>
      <c r="J27" s="199">
        <v>23</v>
      </c>
      <c r="K27" s="200">
        <f t="shared" si="4"/>
        <v>0.23529411764705879</v>
      </c>
      <c r="L27" s="199">
        <v>9</v>
      </c>
      <c r="M27" s="200">
        <f t="shared" si="5"/>
        <v>8.572244975711972E-2</v>
      </c>
      <c r="N27" s="199">
        <v>13</v>
      </c>
      <c r="O27" s="200">
        <f t="shared" si="6"/>
        <v>0.146182390644327</v>
      </c>
      <c r="P27" s="199">
        <v>7</v>
      </c>
      <c r="Q27" s="200">
        <f t="shared" si="7"/>
        <v>7.4144688062705216E-2</v>
      </c>
      <c r="R27" s="199">
        <v>12</v>
      </c>
      <c r="S27" s="200">
        <f t="shared" si="8"/>
        <v>0.11734793663211421</v>
      </c>
      <c r="T27" s="199">
        <v>16</v>
      </c>
      <c r="U27" s="200">
        <f t="shared" si="9"/>
        <v>0.1661992313285551</v>
      </c>
    </row>
    <row r="28" spans="1:21" ht="16.5">
      <c r="A28" s="46" t="s">
        <v>474</v>
      </c>
      <c r="B28" s="199">
        <v>45</v>
      </c>
      <c r="C28" s="200">
        <f t="shared" si="0"/>
        <v>0.29844807003581375</v>
      </c>
      <c r="D28" s="199">
        <v>45</v>
      </c>
      <c r="E28" s="200">
        <f t="shared" si="1"/>
        <v>0.37381624854627016</v>
      </c>
      <c r="F28" s="199">
        <v>50</v>
      </c>
      <c r="G28" s="200">
        <f t="shared" si="2"/>
        <v>0.45583006655118968</v>
      </c>
      <c r="H28" s="199">
        <v>38</v>
      </c>
      <c r="I28" s="200">
        <f t="shared" si="3"/>
        <v>0.34539174695509911</v>
      </c>
      <c r="J28" s="199">
        <v>29</v>
      </c>
      <c r="K28" s="200">
        <f t="shared" si="4"/>
        <v>0.29667519181585678</v>
      </c>
      <c r="L28" s="199">
        <v>33</v>
      </c>
      <c r="M28" s="200">
        <f t="shared" si="5"/>
        <v>0.31431564910943899</v>
      </c>
      <c r="N28" s="199">
        <v>20</v>
      </c>
      <c r="O28" s="200">
        <f t="shared" si="6"/>
        <v>0.22489598560665691</v>
      </c>
      <c r="P28" s="199">
        <v>20</v>
      </c>
      <c r="Q28" s="200">
        <f t="shared" si="7"/>
        <v>0.21184196589344351</v>
      </c>
      <c r="R28" s="199">
        <v>6</v>
      </c>
      <c r="S28" s="200">
        <f t="shared" si="8"/>
        <v>5.8673968316057104E-2</v>
      </c>
      <c r="T28" s="199">
        <v>16</v>
      </c>
      <c r="U28" s="200">
        <f t="shared" si="9"/>
        <v>0.1661992313285551</v>
      </c>
    </row>
    <row r="29" spans="1:21" ht="16.5">
      <c r="A29" s="201" t="s">
        <v>493</v>
      </c>
      <c r="B29" s="199">
        <v>2</v>
      </c>
      <c r="C29" s="200">
        <f t="shared" si="0"/>
        <v>1.3264358668258388E-2</v>
      </c>
      <c r="D29" s="199">
        <v>2</v>
      </c>
      <c r="E29" s="200">
        <f t="shared" si="1"/>
        <v>1.6614055490945343E-2</v>
      </c>
      <c r="F29" s="199">
        <v>6</v>
      </c>
      <c r="G29" s="200">
        <f t="shared" si="2"/>
        <v>5.4699607986142769E-2</v>
      </c>
      <c r="H29" s="199">
        <v>1</v>
      </c>
      <c r="I29" s="200">
        <f t="shared" si="3"/>
        <v>9.0892564988183967E-3</v>
      </c>
      <c r="J29" s="199">
        <v>4</v>
      </c>
      <c r="K29" s="200">
        <f t="shared" si="4"/>
        <v>4.0920716112531973E-2</v>
      </c>
      <c r="L29" s="199">
        <v>5</v>
      </c>
      <c r="M29" s="200">
        <f t="shared" si="5"/>
        <v>4.7623583198399849E-2</v>
      </c>
      <c r="N29" s="199">
        <v>6</v>
      </c>
      <c r="O29" s="200">
        <f t="shared" si="6"/>
        <v>6.7468795681997082E-2</v>
      </c>
      <c r="P29" s="199">
        <v>1</v>
      </c>
      <c r="Q29" s="200">
        <f t="shared" si="7"/>
        <v>1.0592098294672173E-2</v>
      </c>
      <c r="R29" s="199">
        <v>20</v>
      </c>
      <c r="S29" s="200">
        <f t="shared" si="8"/>
        <v>0.19557989438685705</v>
      </c>
      <c r="T29" s="199">
        <v>15</v>
      </c>
      <c r="U29" s="200">
        <f t="shared" si="9"/>
        <v>0.1558117793705204</v>
      </c>
    </row>
    <row r="30" spans="1:21" ht="16.5">
      <c r="A30" s="46" t="s">
        <v>467</v>
      </c>
      <c r="B30" s="199">
        <v>15</v>
      </c>
      <c r="C30" s="200">
        <f t="shared" si="0"/>
        <v>9.9482690011937935E-2</v>
      </c>
      <c r="D30" s="199">
        <v>16</v>
      </c>
      <c r="E30" s="200">
        <f t="shared" si="1"/>
        <v>0.13291244392756274</v>
      </c>
      <c r="F30" s="199">
        <v>22</v>
      </c>
      <c r="G30" s="200">
        <f t="shared" si="2"/>
        <v>0.20056522928252346</v>
      </c>
      <c r="H30" s="199">
        <v>7</v>
      </c>
      <c r="I30" s="200">
        <f t="shared" si="3"/>
        <v>6.3624795491728781E-2</v>
      </c>
      <c r="J30" s="199">
        <v>17</v>
      </c>
      <c r="K30" s="200">
        <f t="shared" si="4"/>
        <v>0.17391304347826086</v>
      </c>
      <c r="L30" s="199">
        <v>14</v>
      </c>
      <c r="M30" s="200">
        <f t="shared" si="5"/>
        <v>0.13334603295551958</v>
      </c>
      <c r="N30" s="199">
        <v>9</v>
      </c>
      <c r="O30" s="200">
        <f t="shared" si="6"/>
        <v>0.10120319352299563</v>
      </c>
      <c r="P30" s="199">
        <v>28</v>
      </c>
      <c r="Q30" s="200">
        <f t="shared" si="7"/>
        <v>0.29657875225082087</v>
      </c>
      <c r="R30" s="199">
        <v>30</v>
      </c>
      <c r="S30" s="200">
        <f t="shared" si="8"/>
        <v>0.29336984158028556</v>
      </c>
      <c r="T30" s="199">
        <v>14</v>
      </c>
      <c r="U30" s="200">
        <f t="shared" si="9"/>
        <v>0.1454243274124857</v>
      </c>
    </row>
    <row r="31" spans="1:21" ht="16.5">
      <c r="A31" s="46" t="s">
        <v>470</v>
      </c>
      <c r="B31" s="199">
        <v>123</v>
      </c>
      <c r="C31" s="200">
        <f t="shared" si="0"/>
        <v>0.81575805809789104</v>
      </c>
      <c r="D31" s="199">
        <v>105</v>
      </c>
      <c r="E31" s="200">
        <f t="shared" si="1"/>
        <v>0.87223791327463041</v>
      </c>
      <c r="F31" s="199">
        <v>41</v>
      </c>
      <c r="G31" s="200">
        <f t="shared" si="2"/>
        <v>0.37378065457197557</v>
      </c>
      <c r="H31" s="199">
        <v>36</v>
      </c>
      <c r="I31" s="200">
        <f t="shared" si="3"/>
        <v>0.32721323395746227</v>
      </c>
      <c r="J31" s="199">
        <v>38</v>
      </c>
      <c r="K31" s="200">
        <f t="shared" si="4"/>
        <v>0.38874680306905374</v>
      </c>
      <c r="L31" s="199">
        <v>29</v>
      </c>
      <c r="M31" s="200">
        <f t="shared" si="5"/>
        <v>0.27621678255071913</v>
      </c>
      <c r="N31" s="199">
        <v>36</v>
      </c>
      <c r="O31" s="200">
        <f t="shared" si="6"/>
        <v>0.40481277409198252</v>
      </c>
      <c r="P31" s="199">
        <v>21</v>
      </c>
      <c r="Q31" s="200">
        <f t="shared" si="7"/>
        <v>0.22243406418811568</v>
      </c>
      <c r="R31" s="199">
        <v>25</v>
      </c>
      <c r="S31" s="200">
        <f t="shared" si="8"/>
        <v>0.24447486798357129</v>
      </c>
      <c r="T31" s="199">
        <v>9</v>
      </c>
      <c r="U31" s="200">
        <f t="shared" si="9"/>
        <v>9.348706762231225E-2</v>
      </c>
    </row>
    <row r="32" spans="1:21" ht="16.5">
      <c r="A32" s="46" t="s">
        <v>472</v>
      </c>
      <c r="B32" s="199">
        <v>116</v>
      </c>
      <c r="C32" s="200">
        <f t="shared" si="0"/>
        <v>0.76933280275898663</v>
      </c>
      <c r="D32" s="199">
        <v>88</v>
      </c>
      <c r="E32" s="200">
        <f t="shared" si="1"/>
        <v>0.7310184416015949</v>
      </c>
      <c r="F32" s="199">
        <v>56</v>
      </c>
      <c r="G32" s="200">
        <f t="shared" si="2"/>
        <v>0.51052967453733256</v>
      </c>
      <c r="H32" s="199">
        <v>43</v>
      </c>
      <c r="I32" s="200">
        <f t="shared" si="3"/>
        <v>0.39083802944919105</v>
      </c>
      <c r="J32" s="199">
        <v>22</v>
      </c>
      <c r="K32" s="200">
        <f t="shared" si="4"/>
        <v>0.22506393861892582</v>
      </c>
      <c r="L32" s="199">
        <v>23</v>
      </c>
      <c r="M32" s="200">
        <f t="shared" si="5"/>
        <v>0.21906848271263929</v>
      </c>
      <c r="N32" s="199">
        <v>9</v>
      </c>
      <c r="O32" s="200">
        <f t="shared" si="6"/>
        <v>0.10120319352299563</v>
      </c>
      <c r="P32" s="199">
        <v>13</v>
      </c>
      <c r="Q32" s="200">
        <f t="shared" si="7"/>
        <v>0.13769727783073826</v>
      </c>
      <c r="R32" s="199">
        <v>7</v>
      </c>
      <c r="S32" s="200">
        <f t="shared" si="8"/>
        <v>6.8452963035399966E-2</v>
      </c>
      <c r="T32" s="199">
        <v>8</v>
      </c>
      <c r="U32" s="200">
        <f t="shared" si="9"/>
        <v>8.3099615664277551E-2</v>
      </c>
    </row>
    <row r="33" spans="1:21" ht="16.5">
      <c r="A33" s="46" t="s">
        <v>475</v>
      </c>
      <c r="B33" s="199">
        <v>12</v>
      </c>
      <c r="C33" s="200">
        <f t="shared" si="0"/>
        <v>7.958615200955034E-2</v>
      </c>
      <c r="D33" s="199">
        <v>11</v>
      </c>
      <c r="E33" s="200">
        <f t="shared" si="1"/>
        <v>9.1377305200199363E-2</v>
      </c>
      <c r="F33" s="199">
        <v>5</v>
      </c>
      <c r="G33" s="200">
        <f t="shared" si="2"/>
        <v>4.5583006655118968E-2</v>
      </c>
      <c r="H33" s="199">
        <v>7</v>
      </c>
      <c r="I33" s="200">
        <f t="shared" si="3"/>
        <v>6.3624795491728781E-2</v>
      </c>
      <c r="J33" s="199">
        <v>6</v>
      </c>
      <c r="K33" s="200">
        <f t="shared" si="4"/>
        <v>6.1381074168797949E-2</v>
      </c>
      <c r="L33" s="199">
        <v>7</v>
      </c>
      <c r="M33" s="200">
        <f t="shared" si="5"/>
        <v>6.6673016477759792E-2</v>
      </c>
      <c r="N33" s="199">
        <v>7</v>
      </c>
      <c r="O33" s="200">
        <f t="shared" si="6"/>
        <v>7.8713594962329922E-2</v>
      </c>
      <c r="P33" s="199">
        <v>9</v>
      </c>
      <c r="Q33" s="200">
        <f t="shared" si="7"/>
        <v>9.532888465204957E-2</v>
      </c>
      <c r="R33" s="199">
        <v>6</v>
      </c>
      <c r="S33" s="200">
        <f t="shared" si="8"/>
        <v>5.8673968316057104E-2</v>
      </c>
      <c r="T33" s="199">
        <v>5</v>
      </c>
      <c r="U33" s="200">
        <f t="shared" si="9"/>
        <v>5.1937259790173468E-2</v>
      </c>
    </row>
    <row r="34" spans="1:21" ht="16.5">
      <c r="A34" s="46" t="s">
        <v>473</v>
      </c>
      <c r="B34" s="199">
        <v>42</v>
      </c>
      <c r="C34" s="200">
        <f t="shared" si="0"/>
        <v>0.2785515320334262</v>
      </c>
      <c r="D34" s="199">
        <v>32</v>
      </c>
      <c r="E34" s="200">
        <f t="shared" si="1"/>
        <v>0.26582488785512548</v>
      </c>
      <c r="F34" s="199">
        <v>13</v>
      </c>
      <c r="G34" s="200">
        <f t="shared" si="2"/>
        <v>0.11851581730330932</v>
      </c>
      <c r="H34" s="199">
        <v>13</v>
      </c>
      <c r="I34" s="200">
        <f t="shared" si="3"/>
        <v>0.11816033448463915</v>
      </c>
      <c r="J34" s="199">
        <v>15</v>
      </c>
      <c r="K34" s="200">
        <f t="shared" si="4"/>
        <v>0.15345268542199489</v>
      </c>
      <c r="L34" s="199">
        <v>17</v>
      </c>
      <c r="M34" s="200">
        <f t="shared" si="5"/>
        <v>0.16192018287455948</v>
      </c>
      <c r="N34" s="199">
        <v>7</v>
      </c>
      <c r="O34" s="200">
        <f t="shared" si="6"/>
        <v>7.8713594962329922E-2</v>
      </c>
      <c r="P34" s="199">
        <v>8</v>
      </c>
      <c r="Q34" s="200">
        <f t="shared" si="7"/>
        <v>8.4736786357377386E-2</v>
      </c>
      <c r="R34" s="199">
        <v>7</v>
      </c>
      <c r="S34" s="200">
        <f t="shared" si="8"/>
        <v>6.8452963035399966E-2</v>
      </c>
      <c r="T34" s="199">
        <v>4</v>
      </c>
      <c r="U34" s="200">
        <f t="shared" si="9"/>
        <v>4.1549807832138776E-2</v>
      </c>
    </row>
    <row r="35" spans="1:21" ht="16.5">
      <c r="A35" s="46" t="s">
        <v>480</v>
      </c>
      <c r="B35" s="199">
        <v>3</v>
      </c>
      <c r="C35" s="200">
        <f t="shared" si="0"/>
        <v>1.9896538002387585E-2</v>
      </c>
      <c r="D35" s="199">
        <v>2</v>
      </c>
      <c r="E35" s="200">
        <f t="shared" si="1"/>
        <v>1.6614055490945343E-2</v>
      </c>
      <c r="F35" s="199">
        <v>2</v>
      </c>
      <c r="G35" s="200">
        <f t="shared" si="2"/>
        <v>1.8233202662047591E-2</v>
      </c>
      <c r="H35" s="199">
        <v>1</v>
      </c>
      <c r="I35" s="200">
        <f t="shared" si="3"/>
        <v>9.0892564988183967E-3</v>
      </c>
      <c r="J35" s="199">
        <v>2</v>
      </c>
      <c r="K35" s="200">
        <f t="shared" si="4"/>
        <v>2.0460358056265986E-2</v>
      </c>
      <c r="L35" s="199">
        <v>1</v>
      </c>
      <c r="M35" s="200">
        <f t="shared" si="5"/>
        <v>9.5247166396799695E-3</v>
      </c>
      <c r="N35" s="199" t="s">
        <v>9</v>
      </c>
      <c r="O35" s="200" t="str">
        <f t="shared" si="6"/>
        <v>-</v>
      </c>
      <c r="P35" s="199">
        <v>1</v>
      </c>
      <c r="Q35" s="200">
        <f t="shared" si="7"/>
        <v>1.0592098294672173E-2</v>
      </c>
      <c r="R35" s="199">
        <v>3</v>
      </c>
      <c r="S35" s="200">
        <f t="shared" si="8"/>
        <v>2.9336984158028552E-2</v>
      </c>
      <c r="T35" s="199">
        <v>4</v>
      </c>
      <c r="U35" s="200">
        <f t="shared" si="9"/>
        <v>4.1549807832138776E-2</v>
      </c>
    </row>
    <row r="36" spans="1:21" ht="16.5">
      <c r="A36" s="201" t="s">
        <v>491</v>
      </c>
      <c r="B36" s="199">
        <v>17</v>
      </c>
      <c r="C36" s="200">
        <f t="shared" si="0"/>
        <v>0.1127470486801963</v>
      </c>
      <c r="D36" s="199">
        <v>19</v>
      </c>
      <c r="E36" s="200">
        <f t="shared" si="1"/>
        <v>0.15783352716398075</v>
      </c>
      <c r="F36" s="199">
        <v>8</v>
      </c>
      <c r="G36" s="200">
        <f t="shared" si="2"/>
        <v>7.2932810648190363E-2</v>
      </c>
      <c r="H36" s="199">
        <v>13</v>
      </c>
      <c r="I36" s="200">
        <f t="shared" si="3"/>
        <v>0.11816033448463915</v>
      </c>
      <c r="J36" s="199" t="s">
        <v>9</v>
      </c>
      <c r="K36" s="200" t="str">
        <f t="shared" si="4"/>
        <v>-</v>
      </c>
      <c r="L36" s="199">
        <v>1</v>
      </c>
      <c r="M36" s="200">
        <f t="shared" si="5"/>
        <v>9.5247166396799695E-3</v>
      </c>
      <c r="N36" s="199" t="s">
        <v>9</v>
      </c>
      <c r="O36" s="200" t="str">
        <f t="shared" si="6"/>
        <v>-</v>
      </c>
      <c r="P36" s="199" t="s">
        <v>9</v>
      </c>
      <c r="Q36" s="200" t="str">
        <f t="shared" si="7"/>
        <v>-</v>
      </c>
      <c r="R36" s="199">
        <v>1</v>
      </c>
      <c r="S36" s="200">
        <f t="shared" si="8"/>
        <v>9.7789947193428518E-3</v>
      </c>
      <c r="T36" s="199">
        <v>3</v>
      </c>
      <c r="U36" s="200">
        <f t="shared" si="9"/>
        <v>3.116235587410408E-2</v>
      </c>
    </row>
    <row r="37" spans="1:21" ht="16.5">
      <c r="A37" s="202" t="s">
        <v>485</v>
      </c>
      <c r="B37" s="199">
        <v>3</v>
      </c>
      <c r="C37" s="200">
        <f t="shared" si="0"/>
        <v>1.9896538002387585E-2</v>
      </c>
      <c r="D37" s="199">
        <v>1</v>
      </c>
      <c r="E37" s="200">
        <f t="shared" si="1"/>
        <v>8.3070277454726713E-3</v>
      </c>
      <c r="F37" s="199">
        <v>6</v>
      </c>
      <c r="G37" s="200">
        <f t="shared" si="2"/>
        <v>5.4699607986142769E-2</v>
      </c>
      <c r="H37" s="199" t="s">
        <v>9</v>
      </c>
      <c r="I37" s="200" t="str">
        <f t="shared" si="3"/>
        <v>-</v>
      </c>
      <c r="J37" s="199">
        <v>4</v>
      </c>
      <c r="K37" s="200">
        <f t="shared" si="4"/>
        <v>4.0920716112531973E-2</v>
      </c>
      <c r="L37" s="199">
        <v>4</v>
      </c>
      <c r="M37" s="200">
        <f t="shared" si="5"/>
        <v>3.8098866558719878E-2</v>
      </c>
      <c r="N37" s="199">
        <v>2</v>
      </c>
      <c r="O37" s="200">
        <f t="shared" si="6"/>
        <v>2.248959856066569E-2</v>
      </c>
      <c r="P37" s="199">
        <v>1</v>
      </c>
      <c r="Q37" s="200">
        <f t="shared" si="7"/>
        <v>1.0592098294672173E-2</v>
      </c>
      <c r="R37" s="199" t="s">
        <v>9</v>
      </c>
      <c r="S37" s="200" t="str">
        <f t="shared" si="8"/>
        <v>-</v>
      </c>
      <c r="T37" s="199">
        <v>3</v>
      </c>
      <c r="U37" s="200">
        <f t="shared" si="9"/>
        <v>3.116235587410408E-2</v>
      </c>
    </row>
    <row r="38" spans="1:21" ht="16.5">
      <c r="A38" s="46" t="s">
        <v>477</v>
      </c>
      <c r="B38" s="199">
        <v>1</v>
      </c>
      <c r="C38" s="200">
        <f t="shared" si="0"/>
        <v>6.6321793341291941E-3</v>
      </c>
      <c r="D38" s="199">
        <v>1</v>
      </c>
      <c r="E38" s="200">
        <f t="shared" si="1"/>
        <v>8.3070277454726713E-3</v>
      </c>
      <c r="F38" s="199">
        <v>1</v>
      </c>
      <c r="G38" s="200">
        <f t="shared" si="2"/>
        <v>9.1166013310237954E-3</v>
      </c>
      <c r="H38" s="199">
        <v>2</v>
      </c>
      <c r="I38" s="200">
        <f t="shared" si="3"/>
        <v>1.8178512997636793E-2</v>
      </c>
      <c r="J38" s="199">
        <v>4</v>
      </c>
      <c r="K38" s="200">
        <f t="shared" si="4"/>
        <v>4.0920716112531973E-2</v>
      </c>
      <c r="L38" s="199">
        <v>3</v>
      </c>
      <c r="M38" s="200">
        <f t="shared" si="5"/>
        <v>2.857414991903991E-2</v>
      </c>
      <c r="N38" s="199" t="s">
        <v>9</v>
      </c>
      <c r="O38" s="200" t="str">
        <f t="shared" si="6"/>
        <v>-</v>
      </c>
      <c r="P38" s="199">
        <v>4</v>
      </c>
      <c r="Q38" s="200">
        <f t="shared" si="7"/>
        <v>4.2368393178688693E-2</v>
      </c>
      <c r="R38" s="199">
        <v>4</v>
      </c>
      <c r="S38" s="200">
        <f t="shared" si="8"/>
        <v>3.9115978877371407E-2</v>
      </c>
      <c r="T38" s="199">
        <v>2</v>
      </c>
      <c r="U38" s="200">
        <f t="shared" si="9"/>
        <v>2.0774903916069388E-2</v>
      </c>
    </row>
    <row r="39" spans="1:21" ht="16.5">
      <c r="A39" s="46" t="s">
        <v>476</v>
      </c>
      <c r="B39" s="199">
        <v>67</v>
      </c>
      <c r="C39" s="200">
        <f t="shared" si="0"/>
        <v>0.44435601538665603</v>
      </c>
      <c r="D39" s="199">
        <v>61</v>
      </c>
      <c r="E39" s="200">
        <f t="shared" si="1"/>
        <v>0.50672869247383279</v>
      </c>
      <c r="F39" s="199">
        <v>85</v>
      </c>
      <c r="G39" s="200">
        <f t="shared" si="2"/>
        <v>0.77491111313702254</v>
      </c>
      <c r="H39" s="199">
        <v>35</v>
      </c>
      <c r="I39" s="200">
        <f t="shared" si="3"/>
        <v>0.3181239774586439</v>
      </c>
      <c r="J39" s="199">
        <v>12</v>
      </c>
      <c r="K39" s="200">
        <f t="shared" si="4"/>
        <v>0.1227621483375959</v>
      </c>
      <c r="L39" s="199">
        <v>12</v>
      </c>
      <c r="M39" s="200">
        <f t="shared" si="5"/>
        <v>0.11429659967615964</v>
      </c>
      <c r="N39" s="199">
        <v>12</v>
      </c>
      <c r="O39" s="200">
        <f t="shared" si="6"/>
        <v>0.13493759136399416</v>
      </c>
      <c r="P39" s="199">
        <v>8</v>
      </c>
      <c r="Q39" s="200">
        <f t="shared" si="7"/>
        <v>8.4736786357377386E-2</v>
      </c>
      <c r="R39" s="199">
        <v>5</v>
      </c>
      <c r="S39" s="200">
        <f t="shared" si="8"/>
        <v>4.8894973596714263E-2</v>
      </c>
      <c r="T39" s="199">
        <v>2</v>
      </c>
      <c r="U39" s="200">
        <f t="shared" si="9"/>
        <v>2.0774903916069388E-2</v>
      </c>
    </row>
    <row r="40" spans="1:21" ht="18" customHeight="1">
      <c r="A40" s="46" t="s">
        <v>478</v>
      </c>
      <c r="B40" s="199">
        <v>1</v>
      </c>
      <c r="C40" s="200">
        <f t="shared" si="0"/>
        <v>6.6321793341291941E-3</v>
      </c>
      <c r="D40" s="199">
        <v>3</v>
      </c>
      <c r="E40" s="200">
        <f t="shared" si="1"/>
        <v>2.492108323641801E-2</v>
      </c>
      <c r="F40" s="199" t="s">
        <v>9</v>
      </c>
      <c r="G40" s="200" t="str">
        <f t="shared" si="2"/>
        <v>-</v>
      </c>
      <c r="H40" s="199">
        <v>3</v>
      </c>
      <c r="I40" s="200">
        <f t="shared" si="3"/>
        <v>2.7267769496455194E-2</v>
      </c>
      <c r="J40" s="199" t="s">
        <v>9</v>
      </c>
      <c r="K40" s="200" t="str">
        <f t="shared" si="4"/>
        <v>-</v>
      </c>
      <c r="L40" s="199">
        <v>2</v>
      </c>
      <c r="M40" s="200">
        <f t="shared" si="5"/>
        <v>1.9049433279359939E-2</v>
      </c>
      <c r="N40" s="199" t="s">
        <v>9</v>
      </c>
      <c r="O40" s="200" t="str">
        <f t="shared" si="6"/>
        <v>-</v>
      </c>
      <c r="P40" s="199">
        <v>1</v>
      </c>
      <c r="Q40" s="200">
        <f t="shared" si="7"/>
        <v>1.0592098294672173E-2</v>
      </c>
      <c r="R40" s="199">
        <v>4</v>
      </c>
      <c r="S40" s="200">
        <f t="shared" si="8"/>
        <v>3.9115978877371407E-2</v>
      </c>
      <c r="T40" s="199">
        <v>2</v>
      </c>
      <c r="U40" s="200">
        <f t="shared" si="9"/>
        <v>2.0774903916069388E-2</v>
      </c>
    </row>
    <row r="41" spans="1:21" ht="18" customHeight="1">
      <c r="A41" s="46" t="s">
        <v>481</v>
      </c>
      <c r="B41" s="199">
        <v>1</v>
      </c>
      <c r="C41" s="200">
        <f t="shared" si="0"/>
        <v>6.6321793341291941E-3</v>
      </c>
      <c r="D41" s="199" t="s">
        <v>9</v>
      </c>
      <c r="E41" s="200" t="str">
        <f t="shared" si="1"/>
        <v>-</v>
      </c>
      <c r="F41" s="199" t="s">
        <v>9</v>
      </c>
      <c r="G41" s="200" t="str">
        <f t="shared" si="2"/>
        <v>-</v>
      </c>
      <c r="H41" s="199" t="s">
        <v>9</v>
      </c>
      <c r="I41" s="200" t="str">
        <f t="shared" si="3"/>
        <v>-</v>
      </c>
      <c r="J41" s="199">
        <v>3</v>
      </c>
      <c r="K41" s="200">
        <f t="shared" si="4"/>
        <v>3.0690537084398974E-2</v>
      </c>
      <c r="L41" s="199" t="s">
        <v>9</v>
      </c>
      <c r="M41" s="200" t="str">
        <f t="shared" si="5"/>
        <v>-</v>
      </c>
      <c r="N41" s="199">
        <v>3</v>
      </c>
      <c r="O41" s="200">
        <f t="shared" si="6"/>
        <v>3.3734397840998541E-2</v>
      </c>
      <c r="P41" s="199" t="s">
        <v>9</v>
      </c>
      <c r="Q41" s="200" t="str">
        <f t="shared" si="7"/>
        <v>-</v>
      </c>
      <c r="R41" s="199">
        <v>1</v>
      </c>
      <c r="S41" s="200">
        <f t="shared" si="8"/>
        <v>9.7789947193428518E-3</v>
      </c>
      <c r="T41" s="199">
        <v>1</v>
      </c>
      <c r="U41" s="200">
        <f t="shared" si="9"/>
        <v>1.0387451958034694E-2</v>
      </c>
    </row>
    <row r="42" spans="1:21" ht="18" customHeight="1">
      <c r="A42" s="46" t="s">
        <v>482</v>
      </c>
      <c r="B42" s="199" t="s">
        <v>9</v>
      </c>
      <c r="C42" s="200" t="str">
        <f t="shared" si="0"/>
        <v>-</v>
      </c>
      <c r="D42" s="199" t="s">
        <v>9</v>
      </c>
      <c r="E42" s="200" t="str">
        <f t="shared" si="1"/>
        <v>-</v>
      </c>
      <c r="F42" s="199" t="s">
        <v>9</v>
      </c>
      <c r="G42" s="200" t="str">
        <f t="shared" si="2"/>
        <v>-</v>
      </c>
      <c r="H42" s="199">
        <v>1</v>
      </c>
      <c r="I42" s="200">
        <f t="shared" si="3"/>
        <v>9.0892564988183967E-3</v>
      </c>
      <c r="J42" s="199">
        <v>1</v>
      </c>
      <c r="K42" s="200">
        <f t="shared" si="4"/>
        <v>1.0230179028132993E-2</v>
      </c>
      <c r="L42" s="199" t="s">
        <v>9</v>
      </c>
      <c r="M42" s="200" t="str">
        <f t="shared" si="5"/>
        <v>-</v>
      </c>
      <c r="N42" s="199" t="s">
        <v>9</v>
      </c>
      <c r="O42" s="200" t="str">
        <f t="shared" si="6"/>
        <v>-</v>
      </c>
      <c r="P42" s="199" t="s">
        <v>9</v>
      </c>
      <c r="Q42" s="200" t="str">
        <f t="shared" si="7"/>
        <v>-</v>
      </c>
      <c r="R42" s="199">
        <v>1</v>
      </c>
      <c r="S42" s="200">
        <f t="shared" si="8"/>
        <v>9.7789947193428518E-3</v>
      </c>
      <c r="T42" s="199">
        <v>1</v>
      </c>
      <c r="U42" s="200">
        <f t="shared" si="9"/>
        <v>1.0387451958034694E-2</v>
      </c>
    </row>
    <row r="43" spans="1:21" ht="18" customHeight="1">
      <c r="A43" s="46" t="s">
        <v>479</v>
      </c>
      <c r="B43" s="199">
        <v>2</v>
      </c>
      <c r="C43" s="200">
        <f t="shared" si="0"/>
        <v>1.3264358668258388E-2</v>
      </c>
      <c r="D43" s="199" t="s">
        <v>9</v>
      </c>
      <c r="E43" s="200" t="str">
        <f t="shared" si="1"/>
        <v>-</v>
      </c>
      <c r="F43" s="199" t="s">
        <v>9</v>
      </c>
      <c r="G43" s="200" t="str">
        <f t="shared" si="2"/>
        <v>-</v>
      </c>
      <c r="H43" s="199" t="s">
        <v>9</v>
      </c>
      <c r="I43" s="200" t="str">
        <f t="shared" si="3"/>
        <v>-</v>
      </c>
      <c r="J43" s="199">
        <v>3</v>
      </c>
      <c r="K43" s="200">
        <f t="shared" si="4"/>
        <v>3.0690537084398974E-2</v>
      </c>
      <c r="L43" s="199" t="s">
        <v>9</v>
      </c>
      <c r="M43" s="200" t="str">
        <f t="shared" si="5"/>
        <v>-</v>
      </c>
      <c r="N43" s="199">
        <v>1</v>
      </c>
      <c r="O43" s="200">
        <f t="shared" si="6"/>
        <v>1.1244799280332845E-2</v>
      </c>
      <c r="P43" s="199" t="s">
        <v>9</v>
      </c>
      <c r="Q43" s="200" t="str">
        <f t="shared" si="7"/>
        <v>-</v>
      </c>
      <c r="R43" s="199">
        <v>3</v>
      </c>
      <c r="S43" s="200">
        <f t="shared" si="8"/>
        <v>2.9336984158028552E-2</v>
      </c>
      <c r="T43" s="199">
        <v>1</v>
      </c>
      <c r="U43" s="200">
        <f t="shared" si="9"/>
        <v>1.0387451958034694E-2</v>
      </c>
    </row>
    <row r="44" spans="1:21" ht="18" customHeight="1">
      <c r="A44" s="203" t="s">
        <v>487</v>
      </c>
      <c r="B44" s="199">
        <v>1</v>
      </c>
      <c r="C44" s="200">
        <f t="shared" si="0"/>
        <v>6.6321793341291941E-3</v>
      </c>
      <c r="D44" s="199">
        <v>1</v>
      </c>
      <c r="E44" s="200">
        <f t="shared" si="1"/>
        <v>8.3070277454726713E-3</v>
      </c>
      <c r="F44" s="199">
        <v>1</v>
      </c>
      <c r="G44" s="200">
        <f t="shared" si="2"/>
        <v>9.1166013310237954E-3</v>
      </c>
      <c r="H44" s="199">
        <v>4</v>
      </c>
      <c r="I44" s="200">
        <f t="shared" si="3"/>
        <v>3.6357025995273587E-2</v>
      </c>
      <c r="J44" s="199">
        <v>4</v>
      </c>
      <c r="K44" s="200">
        <f t="shared" si="4"/>
        <v>4.0920716112531973E-2</v>
      </c>
      <c r="L44" s="199">
        <v>5</v>
      </c>
      <c r="M44" s="200">
        <f t="shared" si="5"/>
        <v>4.7623583198399849E-2</v>
      </c>
      <c r="N44" s="199">
        <v>1</v>
      </c>
      <c r="O44" s="200">
        <f t="shared" si="6"/>
        <v>1.1244799280332845E-2</v>
      </c>
      <c r="P44" s="199">
        <v>1</v>
      </c>
      <c r="Q44" s="200">
        <f t="shared" si="7"/>
        <v>1.0592098294672173E-2</v>
      </c>
      <c r="R44" s="199" t="s">
        <v>9</v>
      </c>
      <c r="S44" s="200" t="str">
        <f t="shared" si="8"/>
        <v>-</v>
      </c>
      <c r="T44" s="199">
        <v>1</v>
      </c>
      <c r="U44" s="200">
        <f t="shared" si="9"/>
        <v>1.0387451958034694E-2</v>
      </c>
    </row>
    <row r="45" spans="1:21" ht="18" customHeight="1">
      <c r="A45" s="46" t="s">
        <v>483</v>
      </c>
      <c r="B45" s="199" t="s">
        <v>9</v>
      </c>
      <c r="C45" s="200" t="str">
        <f t="shared" si="0"/>
        <v>-</v>
      </c>
      <c r="D45" s="199" t="s">
        <v>9</v>
      </c>
      <c r="E45" s="200" t="str">
        <f t="shared" si="1"/>
        <v>-</v>
      </c>
      <c r="F45" s="199" t="s">
        <v>9</v>
      </c>
      <c r="G45" s="200" t="str">
        <f t="shared" si="2"/>
        <v>-</v>
      </c>
      <c r="H45" s="199">
        <v>1</v>
      </c>
      <c r="I45" s="200">
        <f t="shared" si="3"/>
        <v>9.0892564988183967E-3</v>
      </c>
      <c r="J45" s="199" t="s">
        <v>9</v>
      </c>
      <c r="K45" s="200" t="str">
        <f t="shared" si="4"/>
        <v>-</v>
      </c>
      <c r="L45" s="199" t="s">
        <v>9</v>
      </c>
      <c r="M45" s="200" t="str">
        <f t="shared" si="5"/>
        <v>-</v>
      </c>
      <c r="N45" s="199">
        <v>3</v>
      </c>
      <c r="O45" s="200">
        <f t="shared" si="6"/>
        <v>3.3734397840998541E-2</v>
      </c>
      <c r="P45" s="199" t="s">
        <v>9</v>
      </c>
      <c r="Q45" s="200" t="str">
        <f t="shared" si="7"/>
        <v>-</v>
      </c>
      <c r="R45" s="199">
        <v>1</v>
      </c>
      <c r="S45" s="200">
        <f t="shared" si="8"/>
        <v>9.7789947193428518E-3</v>
      </c>
      <c r="T45" s="199">
        <v>1</v>
      </c>
      <c r="U45" s="200">
        <f t="shared" si="9"/>
        <v>1.0387451958034694E-2</v>
      </c>
    </row>
    <row r="46" spans="1:21" ht="16.5">
      <c r="A46" s="46" t="s">
        <v>484</v>
      </c>
      <c r="B46" s="199" t="s">
        <v>9</v>
      </c>
      <c r="C46" s="200" t="str">
        <f t="shared" si="0"/>
        <v>-</v>
      </c>
      <c r="D46" s="199" t="s">
        <v>9</v>
      </c>
      <c r="E46" s="200" t="str">
        <f t="shared" si="1"/>
        <v>-</v>
      </c>
      <c r="F46" s="199" t="s">
        <v>9</v>
      </c>
      <c r="G46" s="200" t="str">
        <f t="shared" si="2"/>
        <v>-</v>
      </c>
      <c r="H46" s="199">
        <v>2</v>
      </c>
      <c r="I46" s="200">
        <f t="shared" si="3"/>
        <v>1.8178512997636793E-2</v>
      </c>
      <c r="J46" s="199" t="s">
        <v>9</v>
      </c>
      <c r="K46" s="200" t="str">
        <f t="shared" si="4"/>
        <v>-</v>
      </c>
      <c r="L46" s="199">
        <v>1</v>
      </c>
      <c r="M46" s="200">
        <f t="shared" si="5"/>
        <v>9.5247166396799695E-3</v>
      </c>
      <c r="N46" s="199" t="s">
        <v>9</v>
      </c>
      <c r="O46" s="200" t="str">
        <f t="shared" si="6"/>
        <v>-</v>
      </c>
      <c r="P46" s="199" t="s">
        <v>9</v>
      </c>
      <c r="Q46" s="200" t="str">
        <f t="shared" si="7"/>
        <v>-</v>
      </c>
      <c r="R46" s="199" t="s">
        <v>9</v>
      </c>
      <c r="S46" s="200" t="str">
        <f t="shared" si="8"/>
        <v>-</v>
      </c>
      <c r="T46" s="199" t="s">
        <v>9</v>
      </c>
      <c r="U46" s="200" t="str">
        <f t="shared" si="9"/>
        <v>-</v>
      </c>
    </row>
    <row r="47" spans="1:21" ht="16.5">
      <c r="A47" s="204" t="s">
        <v>568</v>
      </c>
      <c r="B47" s="199" t="s">
        <v>9</v>
      </c>
      <c r="C47" s="200" t="str">
        <f t="shared" si="0"/>
        <v>-</v>
      </c>
      <c r="D47" s="199" t="s">
        <v>9</v>
      </c>
      <c r="E47" s="200" t="str">
        <f t="shared" si="1"/>
        <v>-</v>
      </c>
      <c r="F47" s="199" t="s">
        <v>9</v>
      </c>
      <c r="G47" s="200" t="str">
        <f t="shared" si="2"/>
        <v>-</v>
      </c>
      <c r="H47" s="199" t="s">
        <v>9</v>
      </c>
      <c r="I47" s="200" t="str">
        <f t="shared" si="3"/>
        <v>-</v>
      </c>
      <c r="J47" s="199" t="s">
        <v>9</v>
      </c>
      <c r="K47" s="200" t="str">
        <f t="shared" si="4"/>
        <v>-</v>
      </c>
      <c r="L47" s="199">
        <v>3</v>
      </c>
      <c r="M47" s="200">
        <f t="shared" si="5"/>
        <v>2.857414991903991E-2</v>
      </c>
      <c r="N47" s="199" t="s">
        <v>9</v>
      </c>
      <c r="O47" s="200" t="str">
        <f t="shared" si="6"/>
        <v>-</v>
      </c>
      <c r="P47" s="199" t="s">
        <v>9</v>
      </c>
      <c r="Q47" s="200" t="str">
        <f t="shared" si="7"/>
        <v>-</v>
      </c>
      <c r="R47" s="199" t="s">
        <v>9</v>
      </c>
      <c r="S47" s="200" t="str">
        <f t="shared" si="8"/>
        <v>-</v>
      </c>
      <c r="T47" s="199" t="s">
        <v>9</v>
      </c>
      <c r="U47" s="200" t="str">
        <f t="shared" si="9"/>
        <v>-</v>
      </c>
    </row>
    <row r="48" spans="1:21" ht="16.5">
      <c r="A48" s="203" t="s">
        <v>488</v>
      </c>
      <c r="B48" s="199" t="s">
        <v>9</v>
      </c>
      <c r="C48" s="200" t="str">
        <f t="shared" si="0"/>
        <v>-</v>
      </c>
      <c r="D48" s="199" t="s">
        <v>9</v>
      </c>
      <c r="E48" s="200" t="str">
        <f t="shared" si="1"/>
        <v>-</v>
      </c>
      <c r="F48" s="199">
        <v>1</v>
      </c>
      <c r="G48" s="200">
        <f t="shared" si="2"/>
        <v>9.1166013310237954E-3</v>
      </c>
      <c r="H48" s="199">
        <v>1</v>
      </c>
      <c r="I48" s="200">
        <f t="shared" si="3"/>
        <v>9.0892564988183967E-3</v>
      </c>
      <c r="J48" s="199">
        <v>1</v>
      </c>
      <c r="K48" s="200">
        <f t="shared" si="4"/>
        <v>1.0230179028132993E-2</v>
      </c>
      <c r="L48" s="199" t="s">
        <v>9</v>
      </c>
      <c r="M48" s="200" t="str">
        <f t="shared" si="5"/>
        <v>-</v>
      </c>
      <c r="N48" s="199">
        <v>1</v>
      </c>
      <c r="O48" s="200">
        <f t="shared" si="6"/>
        <v>1.1244799280332845E-2</v>
      </c>
      <c r="P48" s="199">
        <v>1</v>
      </c>
      <c r="Q48" s="200">
        <f t="shared" si="7"/>
        <v>1.0592098294672173E-2</v>
      </c>
      <c r="R48" s="199" t="s">
        <v>9</v>
      </c>
      <c r="S48" s="200" t="str">
        <f t="shared" si="8"/>
        <v>-</v>
      </c>
      <c r="T48" s="199" t="s">
        <v>9</v>
      </c>
      <c r="U48" s="200" t="str">
        <f t="shared" si="9"/>
        <v>-</v>
      </c>
    </row>
    <row r="49" spans="1:21" ht="16.5">
      <c r="A49" s="203" t="s">
        <v>489</v>
      </c>
      <c r="B49" s="199">
        <v>6</v>
      </c>
      <c r="C49" s="200">
        <f t="shared" si="0"/>
        <v>3.979307600477517E-2</v>
      </c>
      <c r="D49" s="199" t="s">
        <v>9</v>
      </c>
      <c r="E49" s="200" t="str">
        <f t="shared" si="1"/>
        <v>-</v>
      </c>
      <c r="F49" s="199">
        <v>1</v>
      </c>
      <c r="G49" s="200">
        <f t="shared" si="2"/>
        <v>9.1166013310237954E-3</v>
      </c>
      <c r="H49" s="199">
        <v>1</v>
      </c>
      <c r="I49" s="200">
        <f t="shared" si="3"/>
        <v>9.0892564988183967E-3</v>
      </c>
      <c r="J49" s="199">
        <v>3</v>
      </c>
      <c r="K49" s="200">
        <f t="shared" si="4"/>
        <v>3.0690537084398974E-2</v>
      </c>
      <c r="L49" s="199" t="s">
        <v>9</v>
      </c>
      <c r="M49" s="200" t="str">
        <f t="shared" si="5"/>
        <v>-</v>
      </c>
      <c r="N49" s="199" t="s">
        <v>9</v>
      </c>
      <c r="O49" s="200" t="str">
        <f t="shared" si="6"/>
        <v>-</v>
      </c>
      <c r="P49" s="199">
        <v>5</v>
      </c>
      <c r="Q49" s="200">
        <f t="shared" si="7"/>
        <v>5.2960491473360877E-2</v>
      </c>
      <c r="R49" s="199" t="s">
        <v>9</v>
      </c>
      <c r="S49" s="200" t="str">
        <f t="shared" si="8"/>
        <v>-</v>
      </c>
      <c r="T49" s="199" t="s">
        <v>9</v>
      </c>
      <c r="U49" s="200" t="str">
        <f t="shared" si="9"/>
        <v>-</v>
      </c>
    </row>
    <row r="50" spans="1:21" ht="16.5">
      <c r="A50" s="201" t="s">
        <v>495</v>
      </c>
      <c r="B50" s="199">
        <v>4</v>
      </c>
      <c r="C50" s="200">
        <f t="shared" si="0"/>
        <v>2.6528717336516777E-2</v>
      </c>
      <c r="D50" s="199" t="s">
        <v>9</v>
      </c>
      <c r="E50" s="200" t="str">
        <f t="shared" si="1"/>
        <v>-</v>
      </c>
      <c r="F50" s="199">
        <v>10</v>
      </c>
      <c r="G50" s="200">
        <f t="shared" si="2"/>
        <v>9.1166013310237937E-2</v>
      </c>
      <c r="H50" s="199">
        <v>2</v>
      </c>
      <c r="I50" s="200">
        <f t="shared" si="3"/>
        <v>1.8178512997636793E-2</v>
      </c>
      <c r="J50" s="199" t="s">
        <v>9</v>
      </c>
      <c r="K50" s="200" t="str">
        <f t="shared" si="4"/>
        <v>-</v>
      </c>
      <c r="L50" s="199" t="s">
        <v>9</v>
      </c>
      <c r="M50" s="200" t="str">
        <f t="shared" si="5"/>
        <v>-</v>
      </c>
      <c r="N50" s="199">
        <v>8</v>
      </c>
      <c r="O50" s="200">
        <f t="shared" si="6"/>
        <v>8.9958394242662762E-2</v>
      </c>
      <c r="P50" s="199">
        <v>1</v>
      </c>
      <c r="Q50" s="200">
        <f t="shared" si="7"/>
        <v>1.0592098294672173E-2</v>
      </c>
      <c r="R50" s="199">
        <v>11</v>
      </c>
      <c r="S50" s="200">
        <f t="shared" si="8"/>
        <v>0.10756894191277137</v>
      </c>
      <c r="T50" s="199" t="s">
        <v>9</v>
      </c>
      <c r="U50" s="200" t="str">
        <f t="shared" si="9"/>
        <v>-</v>
      </c>
    </row>
    <row r="51" spans="1:21" ht="16.5">
      <c r="A51" s="205" t="s">
        <v>490</v>
      </c>
      <c r="B51" s="206">
        <v>1268</v>
      </c>
      <c r="C51" s="207">
        <f t="shared" si="0"/>
        <v>8.409603395675818</v>
      </c>
      <c r="D51" s="206">
        <v>1131</v>
      </c>
      <c r="E51" s="207">
        <f t="shared" si="1"/>
        <v>9.3952483801295887</v>
      </c>
      <c r="F51" s="206">
        <v>924</v>
      </c>
      <c r="G51" s="207">
        <f t="shared" si="2"/>
        <v>8.4237396298659846</v>
      </c>
      <c r="H51" s="206">
        <v>1009</v>
      </c>
      <c r="I51" s="207">
        <f t="shared" si="3"/>
        <v>9.1710598073077616</v>
      </c>
      <c r="J51" s="206">
        <v>702</v>
      </c>
      <c r="K51" s="207">
        <f t="shared" si="4"/>
        <v>7.1815856777493607</v>
      </c>
      <c r="L51" s="206">
        <v>853</v>
      </c>
      <c r="M51" s="207">
        <f t="shared" si="5"/>
        <v>8.1245832936470137</v>
      </c>
      <c r="N51" s="206">
        <v>559</v>
      </c>
      <c r="O51" s="207">
        <f t="shared" si="6"/>
        <v>6.2858427977060609</v>
      </c>
      <c r="P51" s="206">
        <v>687</v>
      </c>
      <c r="Q51" s="207">
        <f t="shared" si="7"/>
        <v>7.2767715284397836</v>
      </c>
      <c r="R51" s="206">
        <v>829</v>
      </c>
      <c r="S51" s="207">
        <f t="shared" si="8"/>
        <v>8.1067866223352247</v>
      </c>
      <c r="T51" s="206">
        <v>692</v>
      </c>
      <c r="U51" s="207">
        <f t="shared" si="9"/>
        <v>7.1881167549600082</v>
      </c>
    </row>
    <row r="52" spans="1:21" ht="16.5">
      <c r="A52" s="303" t="s">
        <v>498</v>
      </c>
      <c r="B52" s="303"/>
      <c r="C52" s="303"/>
      <c r="D52" s="303"/>
    </row>
    <row r="53" spans="1:21" ht="16.5">
      <c r="A53" s="303" t="s">
        <v>497</v>
      </c>
      <c r="B53" s="303"/>
      <c r="C53" s="303"/>
      <c r="D53" s="303"/>
    </row>
  </sheetData>
  <sortState ref="A5:U50">
    <sortCondition descending="1" ref="U5:U50"/>
    <sortCondition ref="A5:A50"/>
  </sortState>
  <mergeCells count="13">
    <mergeCell ref="T2:U2"/>
    <mergeCell ref="A52:D52"/>
    <mergeCell ref="A53:D53"/>
    <mergeCell ref="A1:U1"/>
    <mergeCell ref="B2:C2"/>
    <mergeCell ref="D2:E2"/>
    <mergeCell ref="F2:G2"/>
    <mergeCell ref="H2:I2"/>
    <mergeCell ref="J2:K2"/>
    <mergeCell ref="L2:M2"/>
    <mergeCell ref="N2:O2"/>
    <mergeCell ref="P2:Q2"/>
    <mergeCell ref="R2:S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3"/>
  <sheetViews>
    <sheetView showGridLines="0" showRuler="0" zoomScale="85" zoomScaleNormal="85" zoomScalePageLayoutView="125" workbookViewId="0">
      <pane xSplit="1" topLeftCell="B1" activePane="topRight" state="frozen"/>
      <selection activeCell="F17" sqref="F17"/>
      <selection pane="topRight" activeCell="L26" sqref="L26"/>
    </sheetView>
  </sheetViews>
  <sheetFormatPr defaultColWidth="9" defaultRowHeight="20.100000000000001" customHeight="1"/>
  <cols>
    <col min="1" max="1" width="18.125" style="17" customWidth="1"/>
    <col min="2" max="11" width="9" style="17" customWidth="1"/>
    <col min="12" max="16384" width="9" style="17"/>
  </cols>
  <sheetData>
    <row r="1" spans="1:11" ht="22.5" customHeight="1">
      <c r="A1" s="329" t="s">
        <v>507</v>
      </c>
      <c r="B1" s="329"/>
      <c r="C1" s="329"/>
      <c r="D1" s="329"/>
      <c r="E1" s="329"/>
      <c r="F1" s="329"/>
      <c r="G1" s="329"/>
      <c r="H1" s="329"/>
      <c r="I1" s="329"/>
      <c r="J1" s="329"/>
      <c r="K1" s="329"/>
    </row>
    <row r="2" spans="1:11" ht="20.100000000000001" customHeight="1">
      <c r="A2" s="18"/>
      <c r="B2" s="379" t="s">
        <v>649</v>
      </c>
      <c r="C2" s="302"/>
      <c r="D2" s="379" t="s">
        <v>612</v>
      </c>
      <c r="E2" s="302"/>
      <c r="F2" s="379" t="s">
        <v>613</v>
      </c>
      <c r="G2" s="302"/>
      <c r="H2" s="379" t="s">
        <v>614</v>
      </c>
      <c r="I2" s="302"/>
      <c r="J2" s="379" t="s">
        <v>615</v>
      </c>
      <c r="K2" s="302"/>
    </row>
    <row r="3" spans="1:11" s="36" customFormat="1" ht="20.100000000000001" customHeight="1">
      <c r="A3" s="30"/>
      <c r="B3" s="115" t="s">
        <v>239</v>
      </c>
      <c r="C3" s="115" t="s">
        <v>144</v>
      </c>
      <c r="D3" s="115" t="s">
        <v>240</v>
      </c>
      <c r="E3" s="115" t="s">
        <v>241</v>
      </c>
      <c r="F3" s="115" t="s">
        <v>242</v>
      </c>
      <c r="G3" s="115" t="s">
        <v>241</v>
      </c>
      <c r="H3" s="115" t="s">
        <v>242</v>
      </c>
      <c r="I3" s="115" t="s">
        <v>241</v>
      </c>
      <c r="J3" s="115" t="s">
        <v>239</v>
      </c>
      <c r="K3" s="115" t="s">
        <v>241</v>
      </c>
    </row>
    <row r="4" spans="1:11" ht="20.100000000000001" customHeight="1">
      <c r="A4" s="17" t="s">
        <v>153</v>
      </c>
      <c r="B4" s="119">
        <f>SUM(B7:B11)</f>
        <v>375</v>
      </c>
      <c r="C4" s="66">
        <v>100</v>
      </c>
      <c r="D4" s="119">
        <f>SUM(D7:D11)</f>
        <v>385</v>
      </c>
      <c r="E4" s="66">
        <v>100</v>
      </c>
      <c r="F4" s="119">
        <f>SUM(F7:F11)</f>
        <v>406</v>
      </c>
      <c r="G4" s="66">
        <v>100</v>
      </c>
      <c r="H4" s="119">
        <f>SUM(H7:H11)</f>
        <v>276</v>
      </c>
      <c r="I4" s="66">
        <v>100</v>
      </c>
      <c r="J4" s="119">
        <f>SUM(J7:J11)</f>
        <v>260</v>
      </c>
      <c r="K4" s="66">
        <v>100</v>
      </c>
    </row>
    <row r="5" spans="1:11" ht="20.100000000000001" customHeight="1">
      <c r="A5" s="23" t="s">
        <v>243</v>
      </c>
      <c r="B5" s="119">
        <v>344</v>
      </c>
      <c r="C5" s="66">
        <f>IFERROR(B5/B$4*100,"-")</f>
        <v>91.733333333333334</v>
      </c>
      <c r="D5" s="119">
        <v>345</v>
      </c>
      <c r="E5" s="66">
        <f>IFERROR(D5/D$4*100,"-")</f>
        <v>89.610389610389603</v>
      </c>
      <c r="F5" s="119">
        <v>374</v>
      </c>
      <c r="G5" s="66">
        <f>IFERROR(F5/F$4*100,"-")</f>
        <v>92.118226600985224</v>
      </c>
      <c r="H5" s="119">
        <v>258</v>
      </c>
      <c r="I5" s="66">
        <f>IFERROR(H5/H$4*100,"-")</f>
        <v>93.478260869565219</v>
      </c>
      <c r="J5" s="119">
        <v>243</v>
      </c>
      <c r="K5" s="66">
        <f>IFERROR(J5/J$4*100,"-")</f>
        <v>93.461538461538467</v>
      </c>
    </row>
    <row r="6" spans="1:11" ht="20.100000000000001" customHeight="1">
      <c r="A6" s="120" t="s">
        <v>244</v>
      </c>
      <c r="B6" s="121">
        <v>31</v>
      </c>
      <c r="C6" s="67">
        <f t="shared" ref="C6:F11" si="0">IFERROR(B6/B$4*100,"-")</f>
        <v>8.2666666666666657</v>
      </c>
      <c r="D6" s="121">
        <v>40</v>
      </c>
      <c r="E6" s="67">
        <f t="shared" si="0"/>
        <v>10.38961038961039</v>
      </c>
      <c r="F6" s="121">
        <v>32</v>
      </c>
      <c r="G6" s="67">
        <f t="shared" ref="G6" si="1">IFERROR(F6/F$4*100,"-")</f>
        <v>7.8817733990147785</v>
      </c>
      <c r="H6" s="121">
        <v>18</v>
      </c>
      <c r="I6" s="67">
        <f t="shared" ref="I6" si="2">IFERROR(H6/H$4*100,"-")</f>
        <v>6.5217391304347823</v>
      </c>
      <c r="J6" s="121">
        <v>17</v>
      </c>
      <c r="K6" s="67">
        <f t="shared" ref="K6" si="3">IFERROR(J6/J$4*100,"-")</f>
        <v>6.5384615384615392</v>
      </c>
    </row>
    <row r="7" spans="1:11" ht="20.100000000000001" customHeight="1">
      <c r="A7" s="46" t="s">
        <v>245</v>
      </c>
      <c r="B7" s="119">
        <v>211</v>
      </c>
      <c r="C7" s="66">
        <f t="shared" si="0"/>
        <v>56.266666666666666</v>
      </c>
      <c r="D7" s="119">
        <v>225</v>
      </c>
      <c r="E7" s="66">
        <f t="shared" si="0"/>
        <v>58.441558441558442</v>
      </c>
      <c r="F7" s="119">
        <v>214</v>
      </c>
      <c r="G7" s="66">
        <f t="shared" ref="G7" si="4">IFERROR(F7/F$4*100,"-")</f>
        <v>52.709359605911331</v>
      </c>
      <c r="H7" s="119">
        <v>146</v>
      </c>
      <c r="I7" s="66">
        <f t="shared" ref="I7" si="5">IFERROR(H7/H$4*100,"-")</f>
        <v>52.89855072463768</v>
      </c>
      <c r="J7" s="119">
        <v>156</v>
      </c>
      <c r="K7" s="66">
        <f t="shared" ref="K7" si="6">IFERROR(J7/J$4*100,"-")</f>
        <v>60</v>
      </c>
    </row>
    <row r="8" spans="1:11" ht="20.100000000000001" customHeight="1">
      <c r="A8" s="46" t="s">
        <v>246</v>
      </c>
      <c r="B8" s="119">
        <v>133</v>
      </c>
      <c r="C8" s="66">
        <f t="shared" si="0"/>
        <v>35.466666666666669</v>
      </c>
      <c r="D8" s="119">
        <v>120</v>
      </c>
      <c r="E8" s="66">
        <f t="shared" si="0"/>
        <v>31.168831168831169</v>
      </c>
      <c r="F8" s="119">
        <v>139</v>
      </c>
      <c r="G8" s="66">
        <f t="shared" ref="G8" si="7">IFERROR(F8/F$4*100,"-")</f>
        <v>34.236453201970448</v>
      </c>
      <c r="H8" s="119">
        <v>99</v>
      </c>
      <c r="I8" s="66">
        <f t="shared" ref="I8" si="8">IFERROR(H8/H$4*100,"-")</f>
        <v>35.869565217391305</v>
      </c>
      <c r="J8" s="119">
        <v>79</v>
      </c>
      <c r="K8" s="66">
        <f t="shared" ref="K8" si="9">IFERROR(J8/J$4*100,"-")</f>
        <v>30.384615384615383</v>
      </c>
    </row>
    <row r="9" spans="1:11" ht="20.100000000000001" customHeight="1">
      <c r="A9" s="46" t="s">
        <v>247</v>
      </c>
      <c r="B9" s="119">
        <v>27</v>
      </c>
      <c r="C9" s="66">
        <f t="shared" si="0"/>
        <v>7.1999999999999993</v>
      </c>
      <c r="D9" s="119">
        <v>37</v>
      </c>
      <c r="E9" s="66">
        <f t="shared" si="0"/>
        <v>9.6103896103896105</v>
      </c>
      <c r="F9" s="119">
        <v>40</v>
      </c>
      <c r="G9" s="66">
        <f t="shared" ref="G9" si="10">IFERROR(F9/F$4*100,"-")</f>
        <v>9.8522167487684733</v>
      </c>
      <c r="H9" s="119">
        <v>26</v>
      </c>
      <c r="I9" s="66">
        <f t="shared" ref="I9" si="11">IFERROR(H9/H$4*100,"-")</f>
        <v>9.4202898550724647</v>
      </c>
      <c r="J9" s="119">
        <v>23</v>
      </c>
      <c r="K9" s="66">
        <f t="shared" ref="K9" si="12">IFERROR(J9/J$4*100,"-")</f>
        <v>8.8461538461538467</v>
      </c>
    </row>
    <row r="10" spans="1:11" ht="20.100000000000001" customHeight="1">
      <c r="A10" s="46" t="s">
        <v>248</v>
      </c>
      <c r="B10" s="119">
        <v>4</v>
      </c>
      <c r="C10" s="66">
        <f t="shared" si="0"/>
        <v>1.0666666666666667</v>
      </c>
      <c r="D10" s="119">
        <v>3</v>
      </c>
      <c r="E10" s="66">
        <f t="shared" si="0"/>
        <v>0.77922077922077926</v>
      </c>
      <c r="F10" s="119">
        <v>13</v>
      </c>
      <c r="G10" s="66">
        <f t="shared" ref="G10:H11" si="13">IFERROR(F10/F$4*100,"-")</f>
        <v>3.201970443349754</v>
      </c>
      <c r="H10" s="119">
        <v>5</v>
      </c>
      <c r="I10" s="66">
        <f t="shared" ref="I10:J11" si="14">IFERROR(H10/H$4*100,"-")</f>
        <v>1.8115942028985508</v>
      </c>
      <c r="J10" s="119">
        <v>2</v>
      </c>
      <c r="K10" s="66">
        <f t="shared" ref="K10:K11" si="15">IFERROR(J10/J$4*100,"-")</f>
        <v>0.76923076923076927</v>
      </c>
    </row>
    <row r="11" spans="1:11" ht="20.100000000000001" customHeight="1" thickBot="1">
      <c r="A11" s="46" t="s">
        <v>249</v>
      </c>
      <c r="B11" s="131" t="str">
        <f t="shared" ref="B11:D11" si="16">IFERROR(A11/A$4*100,"-")</f>
        <v>-</v>
      </c>
      <c r="C11" s="125" t="str">
        <f t="shared" si="16"/>
        <v>-</v>
      </c>
      <c r="D11" s="131" t="str">
        <f t="shared" si="16"/>
        <v>-</v>
      </c>
      <c r="E11" s="125" t="str">
        <f t="shared" si="0"/>
        <v>-</v>
      </c>
      <c r="F11" s="131" t="str">
        <f t="shared" si="0"/>
        <v>-</v>
      </c>
      <c r="G11" s="125" t="str">
        <f t="shared" si="13"/>
        <v>-</v>
      </c>
      <c r="H11" s="131" t="str">
        <f t="shared" si="13"/>
        <v>-</v>
      </c>
      <c r="I11" s="125" t="str">
        <f t="shared" si="14"/>
        <v>-</v>
      </c>
      <c r="J11" s="131" t="str">
        <f t="shared" si="14"/>
        <v>-</v>
      </c>
      <c r="K11" s="125" t="str">
        <f t="shared" si="15"/>
        <v>-</v>
      </c>
    </row>
    <row r="12" spans="1:11" ht="20.100000000000001" customHeight="1">
      <c r="A12" s="38"/>
      <c r="B12" s="381" t="s">
        <v>616</v>
      </c>
      <c r="C12" s="343"/>
      <c r="D12" s="381" t="s">
        <v>617</v>
      </c>
      <c r="E12" s="343"/>
      <c r="F12" s="381" t="s">
        <v>618</v>
      </c>
      <c r="G12" s="343"/>
      <c r="H12" s="381" t="s">
        <v>619</v>
      </c>
      <c r="I12" s="343"/>
      <c r="J12" s="381" t="s">
        <v>620</v>
      </c>
      <c r="K12" s="343"/>
    </row>
    <row r="13" spans="1:11" s="36" customFormat="1" ht="20.100000000000001" customHeight="1">
      <c r="A13" s="30"/>
      <c r="B13" s="115" t="s">
        <v>143</v>
      </c>
      <c r="C13" s="115" t="s">
        <v>122</v>
      </c>
      <c r="D13" s="115" t="s">
        <v>143</v>
      </c>
      <c r="E13" s="115" t="s">
        <v>122</v>
      </c>
      <c r="F13" s="115" t="s">
        <v>143</v>
      </c>
      <c r="G13" s="115" t="s">
        <v>122</v>
      </c>
      <c r="H13" s="115" t="s">
        <v>143</v>
      </c>
      <c r="I13" s="115" t="s">
        <v>122</v>
      </c>
      <c r="J13" s="115" t="s">
        <v>143</v>
      </c>
      <c r="K13" s="115" t="s">
        <v>122</v>
      </c>
    </row>
    <row r="14" spans="1:11" ht="20.100000000000001" customHeight="1">
      <c r="A14" s="17" t="s">
        <v>251</v>
      </c>
      <c r="B14" s="119">
        <f>SUM(B17:B21)</f>
        <v>291</v>
      </c>
      <c r="C14" s="66">
        <f t="shared" ref="C14" si="17">SUM(C17:C21)</f>
        <v>100.00000000000001</v>
      </c>
      <c r="D14" s="119">
        <f>SUM(D17:D21)</f>
        <v>324</v>
      </c>
      <c r="E14" s="66">
        <f t="shared" ref="E14:K14" si="18">SUM(E17:E21)</f>
        <v>100</v>
      </c>
      <c r="F14" s="119">
        <f t="shared" si="18"/>
        <v>233</v>
      </c>
      <c r="G14" s="66">
        <f t="shared" si="18"/>
        <v>100</v>
      </c>
      <c r="H14" s="31">
        <f t="shared" si="18"/>
        <v>301</v>
      </c>
      <c r="I14" s="20">
        <f t="shared" si="18"/>
        <v>100</v>
      </c>
      <c r="J14" s="31">
        <f t="shared" si="18"/>
        <v>347</v>
      </c>
      <c r="K14" s="20">
        <f t="shared" si="18"/>
        <v>99.999999999999986</v>
      </c>
    </row>
    <row r="15" spans="1:11" ht="20.100000000000001" customHeight="1">
      <c r="A15" s="23" t="s">
        <v>243</v>
      </c>
      <c r="B15" s="119">
        <v>269</v>
      </c>
      <c r="C15" s="66">
        <f>IFERROR(B15/B$14*100,"-")</f>
        <v>92.439862542955325</v>
      </c>
      <c r="D15" s="119">
        <v>299</v>
      </c>
      <c r="E15" s="66">
        <f>IFERROR(D15/D$14*100,"-")</f>
        <v>92.283950617283949</v>
      </c>
      <c r="F15" s="119">
        <v>207</v>
      </c>
      <c r="G15" s="66">
        <f>IFERROR(F15/F$14*100,"-")</f>
        <v>88.841201716738198</v>
      </c>
      <c r="H15" s="44">
        <v>284</v>
      </c>
      <c r="I15" s="66">
        <f>IFERROR(H15/H$14*100,"-")</f>
        <v>94.352159468438529</v>
      </c>
      <c r="J15" s="44">
        <v>322</v>
      </c>
      <c r="K15" s="66">
        <f>IFERROR(J15/J$14*100,"-")</f>
        <v>92.795389048991353</v>
      </c>
    </row>
    <row r="16" spans="1:11" ht="20.100000000000001" customHeight="1">
      <c r="A16" s="120" t="s">
        <v>252</v>
      </c>
      <c r="B16" s="121">
        <v>22</v>
      </c>
      <c r="C16" s="67">
        <f t="shared" ref="C16:E21" si="19">IFERROR(B16/B$14*100,"-")</f>
        <v>7.5601374570446733</v>
      </c>
      <c r="D16" s="121">
        <v>25</v>
      </c>
      <c r="E16" s="67">
        <f t="shared" si="19"/>
        <v>7.716049382716049</v>
      </c>
      <c r="F16" s="121">
        <v>26</v>
      </c>
      <c r="G16" s="67">
        <f t="shared" ref="G16:G21" si="20">IFERROR(F16/F$14*100,"-")</f>
        <v>11.158798283261802</v>
      </c>
      <c r="H16" s="69">
        <v>17</v>
      </c>
      <c r="I16" s="67">
        <f t="shared" ref="I16:I21" si="21">IFERROR(H16/H$14*100,"-")</f>
        <v>5.6478405315614619</v>
      </c>
      <c r="J16" s="69">
        <v>25</v>
      </c>
      <c r="K16" s="67">
        <f t="shared" ref="K16:K21" si="22">IFERROR(J16/J$14*100,"-")</f>
        <v>7.2046109510086458</v>
      </c>
    </row>
    <row r="17" spans="1:11" ht="20.100000000000001" customHeight="1">
      <c r="A17" s="122" t="s">
        <v>245</v>
      </c>
      <c r="B17" s="119">
        <v>171</v>
      </c>
      <c r="C17" s="66">
        <f t="shared" si="19"/>
        <v>58.762886597938149</v>
      </c>
      <c r="D17" s="119">
        <v>187</v>
      </c>
      <c r="E17" s="66">
        <f t="shared" si="19"/>
        <v>57.716049382716051</v>
      </c>
      <c r="F17" s="119">
        <v>144</v>
      </c>
      <c r="G17" s="66">
        <f t="shared" si="20"/>
        <v>61.802575107296143</v>
      </c>
      <c r="H17" s="44">
        <f>166+14</f>
        <v>180</v>
      </c>
      <c r="I17" s="66">
        <f t="shared" si="21"/>
        <v>59.800664451827245</v>
      </c>
      <c r="J17" s="44">
        <v>197</v>
      </c>
      <c r="K17" s="66">
        <f t="shared" si="22"/>
        <v>56.77233429394812</v>
      </c>
    </row>
    <row r="18" spans="1:11" ht="20.100000000000001" customHeight="1">
      <c r="A18" s="46" t="s">
        <v>253</v>
      </c>
      <c r="B18" s="119">
        <v>89</v>
      </c>
      <c r="C18" s="66">
        <f t="shared" si="19"/>
        <v>30.584192439862544</v>
      </c>
      <c r="D18" s="119">
        <v>100</v>
      </c>
      <c r="E18" s="66">
        <f t="shared" si="19"/>
        <v>30.864197530864196</v>
      </c>
      <c r="F18" s="119">
        <v>59</v>
      </c>
      <c r="G18" s="66">
        <f t="shared" si="20"/>
        <v>25.321888412017167</v>
      </c>
      <c r="H18" s="44">
        <f>88+1</f>
        <v>89</v>
      </c>
      <c r="I18" s="66">
        <f t="shared" si="21"/>
        <v>29.568106312292358</v>
      </c>
      <c r="J18" s="44">
        <v>103</v>
      </c>
      <c r="K18" s="66">
        <f t="shared" si="22"/>
        <v>29.682997118155619</v>
      </c>
    </row>
    <row r="19" spans="1:11" ht="20.100000000000001" customHeight="1">
      <c r="A19" s="46" t="s">
        <v>254</v>
      </c>
      <c r="B19" s="119">
        <v>22</v>
      </c>
      <c r="C19" s="66">
        <f t="shared" si="19"/>
        <v>7.5601374570446733</v>
      </c>
      <c r="D19" s="119">
        <v>28</v>
      </c>
      <c r="E19" s="66">
        <f t="shared" si="19"/>
        <v>8.6419753086419746</v>
      </c>
      <c r="F19" s="119">
        <v>25</v>
      </c>
      <c r="G19" s="66">
        <f t="shared" si="20"/>
        <v>10.72961373390558</v>
      </c>
      <c r="H19" s="44">
        <f>21+2</f>
        <v>23</v>
      </c>
      <c r="I19" s="66">
        <f t="shared" si="21"/>
        <v>7.6411960132890364</v>
      </c>
      <c r="J19" s="44">
        <v>40</v>
      </c>
      <c r="K19" s="66">
        <f t="shared" si="22"/>
        <v>11.527377521613833</v>
      </c>
    </row>
    <row r="20" spans="1:11" ht="20.100000000000001" customHeight="1">
      <c r="A20" s="46" t="s">
        <v>255</v>
      </c>
      <c r="B20" s="119">
        <v>9</v>
      </c>
      <c r="C20" s="66">
        <f t="shared" si="19"/>
        <v>3.0927835051546393</v>
      </c>
      <c r="D20" s="119">
        <v>7</v>
      </c>
      <c r="E20" s="66">
        <f t="shared" si="19"/>
        <v>2.1604938271604937</v>
      </c>
      <c r="F20" s="119">
        <v>3</v>
      </c>
      <c r="G20" s="66">
        <f t="shared" si="20"/>
        <v>1.2875536480686696</v>
      </c>
      <c r="H20" s="44">
        <v>4</v>
      </c>
      <c r="I20" s="66">
        <f t="shared" si="21"/>
        <v>1.3289036544850499</v>
      </c>
      <c r="J20" s="44">
        <v>5</v>
      </c>
      <c r="K20" s="66">
        <f t="shared" si="22"/>
        <v>1.4409221902017291</v>
      </c>
    </row>
    <row r="21" spans="1:11" ht="20.100000000000001" customHeight="1">
      <c r="A21" s="113" t="s">
        <v>249</v>
      </c>
      <c r="B21" s="121" t="str">
        <f t="shared" ref="B21:C21" si="23">IFERROR(A21/A$4*100,"-")</f>
        <v>-</v>
      </c>
      <c r="C21" s="28" t="str">
        <f t="shared" si="23"/>
        <v>-</v>
      </c>
      <c r="D21" s="121">
        <v>2</v>
      </c>
      <c r="E21" s="67">
        <f t="shared" si="19"/>
        <v>0.61728395061728392</v>
      </c>
      <c r="F21" s="121">
        <v>2</v>
      </c>
      <c r="G21" s="67">
        <f t="shared" si="20"/>
        <v>0.85836909871244638</v>
      </c>
      <c r="H21" s="69">
        <v>5</v>
      </c>
      <c r="I21" s="67">
        <f t="shared" si="21"/>
        <v>1.6611295681063125</v>
      </c>
      <c r="J21" s="69">
        <v>2</v>
      </c>
      <c r="K21" s="67">
        <f t="shared" si="22"/>
        <v>0.57636887608069165</v>
      </c>
    </row>
    <row r="22" spans="1:11" ht="15.75" customHeight="1">
      <c r="A22" s="370" t="s">
        <v>421</v>
      </c>
      <c r="B22" s="370"/>
      <c r="C22" s="370"/>
      <c r="D22" s="370"/>
      <c r="E22" s="370"/>
      <c r="F22" s="370"/>
      <c r="G22" s="370"/>
      <c r="H22" s="370"/>
    </row>
    <row r="23" spans="1:11" ht="32.25" customHeight="1">
      <c r="A23" s="370"/>
      <c r="B23" s="370"/>
      <c r="C23" s="370"/>
      <c r="D23" s="370"/>
      <c r="E23" s="370"/>
      <c r="F23" s="370"/>
      <c r="G23" s="370"/>
      <c r="H23" s="370"/>
    </row>
  </sheetData>
  <mergeCells count="12">
    <mergeCell ref="A22:H23"/>
    <mergeCell ref="B12:C12"/>
    <mergeCell ref="D12:E12"/>
    <mergeCell ref="F12:G12"/>
    <mergeCell ref="H12:I12"/>
    <mergeCell ref="J12:K12"/>
    <mergeCell ref="A1:K1"/>
    <mergeCell ref="B2:C2"/>
    <mergeCell ref="D2:E2"/>
    <mergeCell ref="F2:G2"/>
    <mergeCell ref="H2:I2"/>
    <mergeCell ref="J2:K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7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0"/>
  <sheetViews>
    <sheetView showGridLines="0" showRuler="0" zoomScaleNormal="100" zoomScalePageLayoutView="125" workbookViewId="0">
      <pane xSplit="1" topLeftCell="B1" activePane="topRight" state="frozen"/>
      <selection activeCell="F17" sqref="F17"/>
      <selection pane="topRight" activeCell="O27" sqref="O27"/>
    </sheetView>
  </sheetViews>
  <sheetFormatPr defaultColWidth="9" defaultRowHeight="15.75"/>
  <cols>
    <col min="1" max="1" width="15.875" style="17" customWidth="1"/>
    <col min="2" max="11" width="9" style="17" customWidth="1"/>
    <col min="12" max="16384" width="9" style="17"/>
  </cols>
  <sheetData>
    <row r="1" spans="1:11" ht="24" customHeight="1">
      <c r="A1" s="329" t="s">
        <v>508</v>
      </c>
      <c r="B1" s="329"/>
      <c r="C1" s="329"/>
      <c r="D1" s="329"/>
      <c r="E1" s="329"/>
      <c r="F1" s="329"/>
      <c r="G1" s="329"/>
      <c r="H1" s="329"/>
      <c r="I1" s="329"/>
      <c r="J1" s="329"/>
      <c r="K1" s="329"/>
    </row>
    <row r="2" spans="1:11" ht="19.350000000000001" customHeight="1">
      <c r="A2" s="18"/>
      <c r="B2" s="302" t="s">
        <v>650</v>
      </c>
      <c r="C2" s="302"/>
      <c r="D2" s="302" t="s">
        <v>30</v>
      </c>
      <c r="E2" s="302"/>
      <c r="F2" s="302" t="s">
        <v>31</v>
      </c>
      <c r="G2" s="302"/>
      <c r="H2" s="302" t="s">
        <v>32</v>
      </c>
      <c r="I2" s="302"/>
      <c r="J2" s="302" t="s">
        <v>33</v>
      </c>
      <c r="K2" s="302"/>
    </row>
    <row r="3" spans="1:11" s="36" customFormat="1" ht="19.350000000000001" customHeight="1">
      <c r="A3" s="30"/>
      <c r="B3" s="115" t="s">
        <v>256</v>
      </c>
      <c r="C3" s="115" t="s">
        <v>241</v>
      </c>
      <c r="D3" s="115" t="s">
        <v>256</v>
      </c>
      <c r="E3" s="115" t="s">
        <v>185</v>
      </c>
      <c r="F3" s="115" t="s">
        <v>256</v>
      </c>
      <c r="G3" s="115" t="s">
        <v>241</v>
      </c>
      <c r="H3" s="115" t="s">
        <v>256</v>
      </c>
      <c r="I3" s="115" t="s">
        <v>241</v>
      </c>
      <c r="J3" s="115" t="s">
        <v>256</v>
      </c>
      <c r="K3" s="115" t="s">
        <v>144</v>
      </c>
    </row>
    <row r="4" spans="1:11" ht="19.350000000000001" customHeight="1">
      <c r="A4" s="46" t="s">
        <v>125</v>
      </c>
      <c r="B4" s="119">
        <v>378</v>
      </c>
      <c r="C4" s="21">
        <f>SUM(C5:C9)</f>
        <v>100.00000000000001</v>
      </c>
      <c r="D4" s="119">
        <v>388</v>
      </c>
      <c r="E4" s="21">
        <f>SUM(E5:E9)</f>
        <v>100</v>
      </c>
      <c r="F4" s="119">
        <v>409</v>
      </c>
      <c r="G4" s="21">
        <f>SUM(G5:G9)</f>
        <v>100</v>
      </c>
      <c r="H4" s="119">
        <v>279</v>
      </c>
      <c r="I4" s="21">
        <f>SUM(I5:I9)</f>
        <v>100</v>
      </c>
      <c r="J4" s="119">
        <v>261</v>
      </c>
      <c r="K4" s="21">
        <f>SUM(K5:K9)</f>
        <v>100.00000000000001</v>
      </c>
    </row>
    <row r="5" spans="1:11" ht="19.350000000000001" customHeight="1">
      <c r="A5" s="46" t="s">
        <v>257</v>
      </c>
      <c r="B5" s="119">
        <v>315</v>
      </c>
      <c r="C5" s="66">
        <f>IFERROR(B5/B$4*100,"-")</f>
        <v>83.333333333333343</v>
      </c>
      <c r="D5" s="119">
        <v>325</v>
      </c>
      <c r="E5" s="66">
        <f>IFERROR(D5/D$4*100,"-")</f>
        <v>83.762886597938149</v>
      </c>
      <c r="F5" s="119">
        <v>346</v>
      </c>
      <c r="G5" s="66">
        <f>IFERROR(F5/F$4*100,"-")</f>
        <v>84.59657701711491</v>
      </c>
      <c r="H5" s="119">
        <v>246</v>
      </c>
      <c r="I5" s="66">
        <f>IFERROR(H5/H$4*100,"-")</f>
        <v>88.172043010752688</v>
      </c>
      <c r="J5" s="119">
        <v>229</v>
      </c>
      <c r="K5" s="66">
        <f>IFERROR(J5/J$4*100,"-")</f>
        <v>87.739463601532563</v>
      </c>
    </row>
    <row r="6" spans="1:11" ht="19.350000000000001" customHeight="1">
      <c r="A6" s="46" t="s">
        <v>258</v>
      </c>
      <c r="B6" s="119">
        <v>39</v>
      </c>
      <c r="C6" s="66">
        <f t="shared" ref="C6:E9" si="0">IFERROR(B6/B$4*100,"-")</f>
        <v>10.317460317460316</v>
      </c>
      <c r="D6" s="119">
        <v>42</v>
      </c>
      <c r="E6" s="66">
        <f t="shared" si="0"/>
        <v>10.824742268041238</v>
      </c>
      <c r="F6" s="119">
        <v>37</v>
      </c>
      <c r="G6" s="66">
        <f t="shared" ref="G6" si="1">IFERROR(F6/F$4*100,"-")</f>
        <v>9.0464547677261606</v>
      </c>
      <c r="H6" s="119">
        <v>20</v>
      </c>
      <c r="I6" s="66">
        <f t="shared" ref="I6" si="2">IFERROR(H6/H$4*100,"-")</f>
        <v>7.1684587813620064</v>
      </c>
      <c r="J6" s="119">
        <v>21</v>
      </c>
      <c r="K6" s="66">
        <f t="shared" ref="K6" si="3">IFERROR(J6/J$4*100,"-")</f>
        <v>8.0459770114942533</v>
      </c>
    </row>
    <row r="7" spans="1:11" ht="19.350000000000001" customHeight="1">
      <c r="A7" s="46" t="s">
        <v>260</v>
      </c>
      <c r="B7" s="119">
        <v>12</v>
      </c>
      <c r="C7" s="66">
        <f>IFERROR(B7/B$4*100,"-")</f>
        <v>3.1746031746031744</v>
      </c>
      <c r="D7" s="119">
        <v>6</v>
      </c>
      <c r="E7" s="66">
        <f>IFERROR(D7/D$4*100,"-")</f>
        <v>1.5463917525773196</v>
      </c>
      <c r="F7" s="119">
        <v>8</v>
      </c>
      <c r="G7" s="66">
        <f>IFERROR(F7/F$4*100,"-")</f>
        <v>1.9559902200488997</v>
      </c>
      <c r="H7" s="119">
        <v>3</v>
      </c>
      <c r="I7" s="66">
        <f>IFERROR(H7/H$4*100,"-")</f>
        <v>1.0752688172043012</v>
      </c>
      <c r="J7" s="119">
        <v>4</v>
      </c>
      <c r="K7" s="66">
        <f>IFERROR(J7/J$4*100,"-")</f>
        <v>1.5325670498084289</v>
      </c>
    </row>
    <row r="8" spans="1:11" ht="19.350000000000001" customHeight="1">
      <c r="A8" s="46" t="s">
        <v>259</v>
      </c>
      <c r="B8" s="119">
        <v>10</v>
      </c>
      <c r="C8" s="66">
        <f t="shared" si="0"/>
        <v>2.6455026455026456</v>
      </c>
      <c r="D8" s="119">
        <v>15</v>
      </c>
      <c r="E8" s="66">
        <f t="shared" si="0"/>
        <v>3.865979381443299</v>
      </c>
      <c r="F8" s="119">
        <v>13</v>
      </c>
      <c r="G8" s="66">
        <f t="shared" ref="G8" si="4">IFERROR(F8/F$4*100,"-")</f>
        <v>3.1784841075794623</v>
      </c>
      <c r="H8" s="119">
        <v>6</v>
      </c>
      <c r="I8" s="66">
        <f t="shared" ref="I8" si="5">IFERROR(H8/H$4*100,"-")</f>
        <v>2.1505376344086025</v>
      </c>
      <c r="J8" s="119">
        <v>7</v>
      </c>
      <c r="K8" s="66">
        <f t="shared" ref="K8:K9" si="6">IFERROR(J8/J$4*100,"-")</f>
        <v>2.6819923371647509</v>
      </c>
    </row>
    <row r="9" spans="1:11" ht="19.350000000000001" customHeight="1" thickBot="1">
      <c r="A9" s="180" t="s">
        <v>261</v>
      </c>
      <c r="B9" s="131">
        <v>2</v>
      </c>
      <c r="C9" s="79">
        <f t="shared" si="0"/>
        <v>0.52910052910052907</v>
      </c>
      <c r="D9" s="131" t="s">
        <v>9</v>
      </c>
      <c r="E9" s="125" t="str">
        <f t="shared" si="0"/>
        <v>-</v>
      </c>
      <c r="F9" s="131">
        <v>5</v>
      </c>
      <c r="G9" s="79">
        <f t="shared" ref="G9" si="7">IFERROR(F9/F$4*100,"-")</f>
        <v>1.2224938875305624</v>
      </c>
      <c r="H9" s="131">
        <v>4</v>
      </c>
      <c r="I9" s="79">
        <f t="shared" ref="I9" si="8">IFERROR(H9/H$4*100,"-")</f>
        <v>1.4336917562724014</v>
      </c>
      <c r="J9" s="131" t="s">
        <v>9</v>
      </c>
      <c r="K9" s="125" t="str">
        <f t="shared" si="6"/>
        <v>-</v>
      </c>
    </row>
    <row r="10" spans="1:11" ht="19.350000000000001" customHeight="1">
      <c r="A10" s="271"/>
      <c r="B10" s="343" t="s">
        <v>34</v>
      </c>
      <c r="C10" s="343"/>
      <c r="D10" s="343" t="s">
        <v>35</v>
      </c>
      <c r="E10" s="343"/>
      <c r="F10" s="343" t="s">
        <v>36</v>
      </c>
      <c r="G10" s="343"/>
      <c r="H10" s="343" t="s">
        <v>37</v>
      </c>
      <c r="I10" s="343"/>
      <c r="J10" s="343" t="s">
        <v>567</v>
      </c>
      <c r="K10" s="343"/>
    </row>
    <row r="11" spans="1:11" s="36" customFormat="1" ht="19.350000000000001" customHeight="1">
      <c r="A11" s="30"/>
      <c r="B11" s="115" t="s">
        <v>121</v>
      </c>
      <c r="C11" s="115" t="s">
        <v>5</v>
      </c>
      <c r="D11" s="115" t="s">
        <v>121</v>
      </c>
      <c r="E11" s="115" t="s">
        <v>122</v>
      </c>
      <c r="F11" s="115" t="s">
        <v>121</v>
      </c>
      <c r="G11" s="115" t="s">
        <v>122</v>
      </c>
      <c r="H11" s="115" t="s">
        <v>62</v>
      </c>
      <c r="I11" s="115" t="s">
        <v>122</v>
      </c>
      <c r="J11" s="115" t="s">
        <v>121</v>
      </c>
      <c r="K11" s="115" t="s">
        <v>5</v>
      </c>
    </row>
    <row r="12" spans="1:11" ht="19.350000000000001" customHeight="1">
      <c r="A12" s="46" t="s">
        <v>233</v>
      </c>
      <c r="B12" s="119">
        <v>293</v>
      </c>
      <c r="C12" s="21">
        <f>SUM(C13:C17)</f>
        <v>100</v>
      </c>
      <c r="D12" s="119">
        <v>325</v>
      </c>
      <c r="E12" s="21">
        <f t="shared" ref="E12:K12" si="9">SUM(E13:E17)</f>
        <v>100</v>
      </c>
      <c r="F12" s="119">
        <f t="shared" si="9"/>
        <v>236</v>
      </c>
      <c r="G12" s="21">
        <f t="shared" si="9"/>
        <v>100</v>
      </c>
      <c r="H12" s="31">
        <f t="shared" si="9"/>
        <v>301</v>
      </c>
      <c r="I12" s="21">
        <f t="shared" si="9"/>
        <v>100</v>
      </c>
      <c r="J12" s="31">
        <f t="shared" si="9"/>
        <v>350</v>
      </c>
      <c r="K12" s="21">
        <f t="shared" si="9"/>
        <v>100</v>
      </c>
    </row>
    <row r="13" spans="1:11" ht="19.350000000000001" customHeight="1">
      <c r="A13" s="46" t="s">
        <v>262</v>
      </c>
      <c r="B13" s="119">
        <v>255</v>
      </c>
      <c r="C13" s="66">
        <f>IFERROR(B13/B$12*100,"-")</f>
        <v>87.030716723549489</v>
      </c>
      <c r="D13" s="119">
        <v>283</v>
      </c>
      <c r="E13" s="66">
        <f>IFERROR(D13/D$12*100,"-")</f>
        <v>87.07692307692308</v>
      </c>
      <c r="F13" s="119">
        <v>202</v>
      </c>
      <c r="G13" s="66">
        <f>IFERROR(F13/F$12*100,"-")</f>
        <v>85.593220338983059</v>
      </c>
      <c r="H13" s="27">
        <v>263</v>
      </c>
      <c r="I13" s="66">
        <f>IFERROR(H13/H$12*100,"-")</f>
        <v>87.375415282392026</v>
      </c>
      <c r="J13" s="27">
        <v>298</v>
      </c>
      <c r="K13" s="66">
        <f>IFERROR(J13/J$12*100,"-")</f>
        <v>85.142857142857139</v>
      </c>
    </row>
    <row r="14" spans="1:11" ht="19.350000000000001" customHeight="1">
      <c r="A14" s="46" t="s">
        <v>180</v>
      </c>
      <c r="B14" s="119">
        <v>25</v>
      </c>
      <c r="C14" s="66">
        <f>IFERROR(B14/B$12*100,"-")</f>
        <v>8.5324232081911262</v>
      </c>
      <c r="D14" s="119">
        <v>25</v>
      </c>
      <c r="E14" s="66">
        <f>IFERROR(D14/D$12*100,"-")</f>
        <v>7.6923076923076925</v>
      </c>
      <c r="F14" s="119">
        <v>22</v>
      </c>
      <c r="G14" s="66">
        <f>IFERROR(F14/F$12*100,"-")</f>
        <v>9.3220338983050848</v>
      </c>
      <c r="H14" s="27">
        <v>30</v>
      </c>
      <c r="I14" s="66">
        <f>IFERROR(H14/H$12*100,"-")</f>
        <v>9.9667774086378742</v>
      </c>
      <c r="J14" s="27">
        <v>37</v>
      </c>
      <c r="K14" s="66">
        <f>IFERROR(J14/J$12*100,"-")</f>
        <v>10.571428571428571</v>
      </c>
    </row>
    <row r="15" spans="1:11" ht="19.350000000000001" customHeight="1">
      <c r="A15" s="46" t="s">
        <v>264</v>
      </c>
      <c r="B15" s="119">
        <v>3</v>
      </c>
      <c r="C15" s="66">
        <f>IFERROR(B15/B$12*100,"-")</f>
        <v>1.0238907849829351</v>
      </c>
      <c r="D15" s="119">
        <v>6</v>
      </c>
      <c r="E15" s="66">
        <f>IFERROR(D15/D$12*100,"-")</f>
        <v>1.8461538461538463</v>
      </c>
      <c r="F15" s="119">
        <v>4</v>
      </c>
      <c r="G15" s="66">
        <f>IFERROR(F15/F$12*100,"-")</f>
        <v>1.6949152542372881</v>
      </c>
      <c r="H15" s="27">
        <v>4</v>
      </c>
      <c r="I15" s="66">
        <f>IFERROR(H15/H$12*100,"-")</f>
        <v>1.3289036544850499</v>
      </c>
      <c r="J15" s="27">
        <v>12</v>
      </c>
      <c r="K15" s="66">
        <f>IFERROR(J15/J$12*100,"-")</f>
        <v>3.4285714285714288</v>
      </c>
    </row>
    <row r="16" spans="1:11" ht="19.350000000000001" customHeight="1">
      <c r="A16" s="46" t="s">
        <v>263</v>
      </c>
      <c r="B16" s="119">
        <v>9</v>
      </c>
      <c r="C16" s="66">
        <f>IFERROR(B16/B$12*100,"-")</f>
        <v>3.0716723549488054</v>
      </c>
      <c r="D16" s="119">
        <v>10</v>
      </c>
      <c r="E16" s="66">
        <f>IFERROR(D16/D$12*100,"-")</f>
        <v>3.0769230769230771</v>
      </c>
      <c r="F16" s="119">
        <v>5</v>
      </c>
      <c r="G16" s="66">
        <f>IFERROR(F16/F$12*100,"-")</f>
        <v>2.1186440677966099</v>
      </c>
      <c r="H16" s="27">
        <v>4</v>
      </c>
      <c r="I16" s="66">
        <f>IFERROR(H16/H$12*100,"-")</f>
        <v>1.3289036544850499</v>
      </c>
      <c r="J16" s="27">
        <v>3</v>
      </c>
      <c r="K16" s="66">
        <f>IFERROR(J16/J$12*100,"-")</f>
        <v>0.85714285714285721</v>
      </c>
    </row>
    <row r="17" spans="1:11" ht="19.350000000000001" customHeight="1">
      <c r="A17" s="113" t="s">
        <v>261</v>
      </c>
      <c r="B17" s="121">
        <v>1</v>
      </c>
      <c r="C17" s="67">
        <f>IFERROR(B17/B$12*100,"-")</f>
        <v>0.34129692832764508</v>
      </c>
      <c r="D17" s="121">
        <v>1</v>
      </c>
      <c r="E17" s="67">
        <f>IFERROR(D17/D$12*100,"-")</f>
        <v>0.30769230769230771</v>
      </c>
      <c r="F17" s="121">
        <v>3</v>
      </c>
      <c r="G17" s="67">
        <f>IFERROR(F17/F$12*100,"-")</f>
        <v>1.2711864406779663</v>
      </c>
      <c r="H17" s="28" t="s">
        <v>138</v>
      </c>
      <c r="I17" s="28" t="str">
        <f>IFERROR(H17/H$12*100,"-")</f>
        <v>-</v>
      </c>
      <c r="J17" s="28" t="s">
        <v>138</v>
      </c>
      <c r="K17" s="28" t="str">
        <f>IFERROR(J17/J$12*100,"-")</f>
        <v>-</v>
      </c>
    </row>
    <row r="18" spans="1:11">
      <c r="A18" s="393" t="s">
        <v>422</v>
      </c>
      <c r="B18" s="382"/>
      <c r="C18" s="394"/>
      <c r="D18" s="382"/>
      <c r="E18" s="382"/>
      <c r="H18" s="59"/>
      <c r="I18" s="60"/>
      <c r="J18" s="59"/>
      <c r="K18" s="59"/>
    </row>
    <row r="19" spans="1:11">
      <c r="A19" s="339" t="s">
        <v>415</v>
      </c>
      <c r="B19" s="339"/>
      <c r="C19" s="339"/>
      <c r="D19" s="339"/>
      <c r="E19" s="339"/>
      <c r="F19" s="339"/>
      <c r="J19" s="59"/>
      <c r="K19" s="59"/>
    </row>
    <row r="20" spans="1:11">
      <c r="A20" s="372"/>
      <c r="B20" s="354"/>
      <c r="C20" s="35"/>
      <c r="D20" s="35"/>
    </row>
  </sheetData>
  <sortState ref="A13:K16">
    <sortCondition descending="1" ref="J13:J16"/>
  </sortState>
  <mergeCells count="14">
    <mergeCell ref="A19:F19"/>
    <mergeCell ref="A20:B20"/>
    <mergeCell ref="B10:C10"/>
    <mergeCell ref="D10:E10"/>
    <mergeCell ref="F10:G10"/>
    <mergeCell ref="H10:I10"/>
    <mergeCell ref="J10:K10"/>
    <mergeCell ref="A18:E18"/>
    <mergeCell ref="A1:K1"/>
    <mergeCell ref="B2:C2"/>
    <mergeCell ref="D2:E2"/>
    <mergeCell ref="F2:G2"/>
    <mergeCell ref="H2:I2"/>
    <mergeCell ref="J2:K2"/>
  </mergeCells>
  <phoneticPr fontId="21" type="noConversion"/>
  <printOptions horizontalCentered="1" verticalCentered="1"/>
  <pageMargins left="0.74803149606299213" right="0.74803149606299213" top="0.74803149606299213" bottom="0.74803149606299213" header="0.51181102362204722" footer="0.51181102362204722"/>
  <pageSetup paperSize="11" scale="8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4"/>
  <sheetViews>
    <sheetView showGridLines="0" showRuler="0" zoomScaleNormal="100" zoomScalePageLayoutView="125" workbookViewId="0">
      <pane xSplit="1" topLeftCell="B1" activePane="topRight" state="frozen"/>
      <selection activeCell="F17" sqref="F17"/>
      <selection pane="topRight" activeCell="F17" sqref="F17"/>
    </sheetView>
  </sheetViews>
  <sheetFormatPr defaultColWidth="9" defaultRowHeight="15.75"/>
  <cols>
    <col min="1" max="1" width="15.875" style="17" customWidth="1"/>
    <col min="2" max="3" width="9" style="17"/>
    <col min="4" max="4" width="8.875" style="17" customWidth="1"/>
    <col min="5" max="7" width="9" style="17"/>
    <col min="8" max="8" width="10" style="17" bestFit="1" customWidth="1"/>
    <col min="9" max="9" width="10.125" style="17" customWidth="1"/>
    <col min="10" max="16384" width="9" style="17"/>
  </cols>
  <sheetData>
    <row r="1" spans="1:11" ht="23.25" customHeight="1">
      <c r="A1" s="329" t="s">
        <v>509</v>
      </c>
      <c r="B1" s="329"/>
      <c r="C1" s="329"/>
      <c r="D1" s="329"/>
      <c r="E1" s="329"/>
      <c r="F1" s="329"/>
      <c r="G1" s="329"/>
      <c r="H1" s="329"/>
      <c r="I1" s="329"/>
      <c r="J1" s="329"/>
      <c r="K1" s="329"/>
    </row>
    <row r="2" spans="1:11" ht="19.350000000000001" customHeight="1">
      <c r="A2" s="18"/>
      <c r="B2" s="302" t="s">
        <v>651</v>
      </c>
      <c r="C2" s="302"/>
      <c r="D2" s="302" t="s">
        <v>30</v>
      </c>
      <c r="E2" s="302"/>
      <c r="F2" s="302" t="s">
        <v>31</v>
      </c>
      <c r="G2" s="302"/>
      <c r="H2" s="302" t="s">
        <v>32</v>
      </c>
      <c r="I2" s="302"/>
      <c r="J2" s="302" t="s">
        <v>33</v>
      </c>
      <c r="K2" s="302"/>
    </row>
    <row r="3" spans="1:11" s="36" customFormat="1" ht="19.350000000000001" customHeight="1">
      <c r="A3" s="30"/>
      <c r="B3" s="115" t="s">
        <v>256</v>
      </c>
      <c r="C3" s="115" t="s">
        <v>241</v>
      </c>
      <c r="D3" s="115" t="s">
        <v>59</v>
      </c>
      <c r="E3" s="115" t="s">
        <v>123</v>
      </c>
      <c r="F3" s="115" t="s">
        <v>59</v>
      </c>
      <c r="G3" s="115" t="s">
        <v>241</v>
      </c>
      <c r="H3" s="115" t="s">
        <v>135</v>
      </c>
      <c r="I3" s="115" t="s">
        <v>5</v>
      </c>
      <c r="J3" s="115" t="s">
        <v>256</v>
      </c>
      <c r="K3" s="115" t="s">
        <v>241</v>
      </c>
    </row>
    <row r="4" spans="1:11" ht="19.350000000000001" customHeight="1">
      <c r="A4" s="46" t="s">
        <v>233</v>
      </c>
      <c r="B4" s="119">
        <v>378</v>
      </c>
      <c r="C4" s="20">
        <f>SUM(C5:C11)</f>
        <v>99.999999999999986</v>
      </c>
      <c r="D4" s="119">
        <v>388</v>
      </c>
      <c r="E4" s="20">
        <f>SUM(E5:E11)</f>
        <v>99.999999999999986</v>
      </c>
      <c r="F4" s="119">
        <v>409</v>
      </c>
      <c r="G4" s="20">
        <f>SUM(G5:G11)</f>
        <v>99.999999999999986</v>
      </c>
      <c r="H4" s="119">
        <v>279</v>
      </c>
      <c r="I4" s="20">
        <f>SUM(I5:I11)</f>
        <v>100</v>
      </c>
      <c r="J4" s="119">
        <v>261</v>
      </c>
      <c r="K4" s="20">
        <f>SUM(K5:K11)</f>
        <v>100</v>
      </c>
    </row>
    <row r="5" spans="1:11" ht="19.350000000000001" customHeight="1">
      <c r="A5" s="46" t="s">
        <v>265</v>
      </c>
      <c r="B5" s="119">
        <v>151</v>
      </c>
      <c r="C5" s="21">
        <f>IFERROR(B5/B$4*100,"-")</f>
        <v>39.94708994708995</v>
      </c>
      <c r="D5" s="119">
        <v>136</v>
      </c>
      <c r="E5" s="21">
        <f>IFERROR(D5/D$4*100,"-")</f>
        <v>35.051546391752574</v>
      </c>
      <c r="F5" s="119">
        <v>152</v>
      </c>
      <c r="G5" s="21">
        <f>IFERROR(F5/F$4*100,"-")</f>
        <v>37.163814180929094</v>
      </c>
      <c r="H5" s="119">
        <v>111</v>
      </c>
      <c r="I5" s="21">
        <f>IFERROR(H5/H$4*100,"-")</f>
        <v>39.784946236559136</v>
      </c>
      <c r="J5" s="119">
        <v>102</v>
      </c>
      <c r="K5" s="21">
        <f>IFERROR(J5/J$4*100,"-")</f>
        <v>39.080459770114942</v>
      </c>
    </row>
    <row r="6" spans="1:11" ht="19.350000000000001" customHeight="1">
      <c r="A6" s="46" t="s">
        <v>266</v>
      </c>
      <c r="B6" s="119">
        <v>148</v>
      </c>
      <c r="C6" s="21">
        <f t="shared" ref="C6:E11" si="0">IFERROR(B6/B$4*100,"-")</f>
        <v>39.153439153439152</v>
      </c>
      <c r="D6" s="119">
        <v>171</v>
      </c>
      <c r="E6" s="21">
        <f t="shared" si="0"/>
        <v>44.072164948453604</v>
      </c>
      <c r="F6" s="119">
        <v>161</v>
      </c>
      <c r="G6" s="21">
        <f t="shared" ref="G6" si="1">IFERROR(F6/F$4*100,"-")</f>
        <v>39.364303178484107</v>
      </c>
      <c r="H6" s="119">
        <v>102</v>
      </c>
      <c r="I6" s="21">
        <f t="shared" ref="I6" si="2">IFERROR(H6/H$4*100,"-")</f>
        <v>36.55913978494624</v>
      </c>
      <c r="J6" s="119">
        <v>110</v>
      </c>
      <c r="K6" s="21">
        <f t="shared" ref="K6" si="3">IFERROR(J6/J$4*100,"-")</f>
        <v>42.145593869731798</v>
      </c>
    </row>
    <row r="7" spans="1:11" ht="19.350000000000001" customHeight="1">
      <c r="A7" s="46" t="s">
        <v>267</v>
      </c>
      <c r="B7" s="119">
        <v>33</v>
      </c>
      <c r="C7" s="21">
        <f t="shared" si="0"/>
        <v>8.7301587301587293</v>
      </c>
      <c r="D7" s="119">
        <v>39</v>
      </c>
      <c r="E7" s="21">
        <f t="shared" si="0"/>
        <v>10.051546391752577</v>
      </c>
      <c r="F7" s="119">
        <v>29</v>
      </c>
      <c r="G7" s="21">
        <f t="shared" ref="G7" si="4">IFERROR(F7/F$4*100,"-")</f>
        <v>7.0904645476772608</v>
      </c>
      <c r="H7" s="119">
        <v>22</v>
      </c>
      <c r="I7" s="21">
        <f t="shared" ref="I7" si="5">IFERROR(H7/H$4*100,"-")</f>
        <v>7.8853046594982077</v>
      </c>
      <c r="J7" s="119">
        <v>13</v>
      </c>
      <c r="K7" s="21">
        <f t="shared" ref="K7" si="6">IFERROR(J7/J$4*100,"-")</f>
        <v>4.980842911877394</v>
      </c>
    </row>
    <row r="8" spans="1:11" ht="19.350000000000001" customHeight="1">
      <c r="A8" s="46" t="s">
        <v>268</v>
      </c>
      <c r="B8" s="119">
        <v>16</v>
      </c>
      <c r="C8" s="21">
        <f t="shared" si="0"/>
        <v>4.2328042328042326</v>
      </c>
      <c r="D8" s="119">
        <v>19</v>
      </c>
      <c r="E8" s="21">
        <f t="shared" si="0"/>
        <v>4.8969072164948457</v>
      </c>
      <c r="F8" s="119">
        <v>19</v>
      </c>
      <c r="G8" s="21">
        <f t="shared" ref="G8" si="7">IFERROR(F8/F$4*100,"-")</f>
        <v>4.6454767726161368</v>
      </c>
      <c r="H8" s="119">
        <v>12</v>
      </c>
      <c r="I8" s="21">
        <f t="shared" ref="I8" si="8">IFERROR(H8/H$4*100,"-")</f>
        <v>4.3010752688172049</v>
      </c>
      <c r="J8" s="119">
        <v>12</v>
      </c>
      <c r="K8" s="21">
        <f t="shared" ref="K8" si="9">IFERROR(J8/J$4*100,"-")</f>
        <v>4.5977011494252871</v>
      </c>
    </row>
    <row r="9" spans="1:11" ht="19.350000000000001" customHeight="1">
      <c r="A9" s="46" t="s">
        <v>269</v>
      </c>
      <c r="B9" s="119">
        <v>6</v>
      </c>
      <c r="C9" s="21">
        <f t="shared" si="0"/>
        <v>1.5873015873015872</v>
      </c>
      <c r="D9" s="119">
        <v>5</v>
      </c>
      <c r="E9" s="21">
        <f t="shared" si="0"/>
        <v>1.2886597938144329</v>
      </c>
      <c r="F9" s="119">
        <v>16</v>
      </c>
      <c r="G9" s="21">
        <f t="shared" ref="G9" si="10">IFERROR(F9/F$4*100,"-")</f>
        <v>3.9119804400977993</v>
      </c>
      <c r="H9" s="119">
        <v>11</v>
      </c>
      <c r="I9" s="21">
        <f t="shared" ref="I9" si="11">IFERROR(H9/H$4*100,"-")</f>
        <v>3.9426523297491038</v>
      </c>
      <c r="J9" s="119">
        <v>7</v>
      </c>
      <c r="K9" s="21">
        <f t="shared" ref="K9" si="12">IFERROR(J9/J$4*100,"-")</f>
        <v>2.6819923371647509</v>
      </c>
    </row>
    <row r="10" spans="1:11" ht="19.350000000000001" customHeight="1">
      <c r="A10" s="46" t="s">
        <v>270</v>
      </c>
      <c r="B10" s="119">
        <v>5</v>
      </c>
      <c r="C10" s="21">
        <f t="shared" si="0"/>
        <v>1.3227513227513228</v>
      </c>
      <c r="D10" s="119">
        <v>4</v>
      </c>
      <c r="E10" s="21">
        <f t="shared" si="0"/>
        <v>1.0309278350515463</v>
      </c>
      <c r="F10" s="119">
        <v>5</v>
      </c>
      <c r="G10" s="21">
        <f t="shared" ref="G10" si="13">IFERROR(F10/F$4*100,"-")</f>
        <v>1.2224938875305624</v>
      </c>
      <c r="H10" s="119">
        <v>1</v>
      </c>
      <c r="I10" s="21">
        <f t="shared" ref="I10" si="14">IFERROR(H10/H$4*100,"-")</f>
        <v>0.35842293906810035</v>
      </c>
      <c r="J10" s="119">
        <v>4</v>
      </c>
      <c r="K10" s="21">
        <f t="shared" ref="K10" si="15">IFERROR(J10/J$4*100,"-")</f>
        <v>1.5325670498084289</v>
      </c>
    </row>
    <row r="11" spans="1:11" ht="19.350000000000001" customHeight="1">
      <c r="A11" s="113" t="s">
        <v>271</v>
      </c>
      <c r="B11" s="121">
        <v>19</v>
      </c>
      <c r="C11" s="22">
        <f t="shared" si="0"/>
        <v>5.0264550264550261</v>
      </c>
      <c r="D11" s="121">
        <v>14</v>
      </c>
      <c r="E11" s="22">
        <f t="shared" si="0"/>
        <v>3.608247422680412</v>
      </c>
      <c r="F11" s="121">
        <v>27</v>
      </c>
      <c r="G11" s="22">
        <f t="shared" ref="G11" si="16">IFERROR(F11/F$4*100,"-")</f>
        <v>6.6014669926650367</v>
      </c>
      <c r="H11" s="121">
        <v>20</v>
      </c>
      <c r="I11" s="22">
        <f t="shared" ref="I11" si="17">IFERROR(H11/H$4*100,"-")</f>
        <v>7.1684587813620064</v>
      </c>
      <c r="J11" s="121">
        <v>13</v>
      </c>
      <c r="K11" s="22">
        <f t="shared" ref="K11" si="18">IFERROR(J11/J$4*100,"-")</f>
        <v>4.980842911877394</v>
      </c>
    </row>
    <row r="12" spans="1:11" ht="19.350000000000001" customHeight="1">
      <c r="A12" s="30"/>
      <c r="B12" s="302" t="s">
        <v>34</v>
      </c>
      <c r="C12" s="302"/>
      <c r="D12" s="302" t="s">
        <v>35</v>
      </c>
      <c r="E12" s="302"/>
      <c r="F12" s="302" t="s">
        <v>36</v>
      </c>
      <c r="G12" s="302"/>
      <c r="H12" s="302" t="s">
        <v>37</v>
      </c>
      <c r="I12" s="302"/>
      <c r="J12" s="302" t="s">
        <v>567</v>
      </c>
      <c r="K12" s="302"/>
    </row>
    <row r="13" spans="1:11" s="36" customFormat="1" ht="19.350000000000001" customHeight="1">
      <c r="A13" s="30"/>
      <c r="B13" s="115" t="s">
        <v>121</v>
      </c>
      <c r="C13" s="115" t="s">
        <v>122</v>
      </c>
      <c r="D13" s="115" t="s">
        <v>121</v>
      </c>
      <c r="E13" s="115" t="s">
        <v>122</v>
      </c>
      <c r="F13" s="115" t="s">
        <v>121</v>
      </c>
      <c r="G13" s="115" t="s">
        <v>122</v>
      </c>
      <c r="H13" s="115" t="s">
        <v>121</v>
      </c>
      <c r="I13" s="115" t="s">
        <v>5</v>
      </c>
      <c r="J13" s="115" t="s">
        <v>121</v>
      </c>
      <c r="K13" s="115" t="s">
        <v>122</v>
      </c>
    </row>
    <row r="14" spans="1:11" ht="19.350000000000001" customHeight="1">
      <c r="A14" s="46" t="s">
        <v>233</v>
      </c>
      <c r="B14" s="119">
        <v>293</v>
      </c>
      <c r="C14" s="20">
        <f>SUM(C15:C21)</f>
        <v>99.999999999999986</v>
      </c>
      <c r="D14" s="119">
        <v>325</v>
      </c>
      <c r="E14" s="20">
        <f>SUM(E15:E21)</f>
        <v>100</v>
      </c>
      <c r="F14" s="119">
        <v>236</v>
      </c>
      <c r="G14" s="20">
        <f>SUM(G15:G21)</f>
        <v>99.999999999999986</v>
      </c>
      <c r="H14" s="76">
        <f>SUM(H15:H21)</f>
        <v>301</v>
      </c>
      <c r="I14" s="20">
        <f>SUM(I15:I21)</f>
        <v>100</v>
      </c>
      <c r="J14" s="76">
        <f>SUM(J15:J21)</f>
        <v>350</v>
      </c>
      <c r="K14" s="20">
        <f>SUM(K15:K21)</f>
        <v>100.00000000000001</v>
      </c>
    </row>
    <row r="15" spans="1:11" ht="19.350000000000001" customHeight="1">
      <c r="A15" s="46" t="s">
        <v>265</v>
      </c>
      <c r="B15" s="119">
        <v>135</v>
      </c>
      <c r="C15" s="21">
        <f>IFERROR(B15/B$14*100,"-")</f>
        <v>46.075085324232084</v>
      </c>
      <c r="D15" s="119">
        <v>143</v>
      </c>
      <c r="E15" s="21">
        <f>IFERROR(D15/D$14*100,"-")</f>
        <v>44</v>
      </c>
      <c r="F15" s="119">
        <v>104</v>
      </c>
      <c r="G15" s="21">
        <f>IFERROR(F15/F$14*100,"-")</f>
        <v>44.067796610169488</v>
      </c>
      <c r="H15" s="27">
        <v>118</v>
      </c>
      <c r="I15" s="21">
        <f>IFERROR(H15/H$14*100,"-")</f>
        <v>39.202657807308974</v>
      </c>
      <c r="J15" s="27">
        <v>151</v>
      </c>
      <c r="K15" s="21">
        <f>IFERROR(J15/J$14*100,"-")</f>
        <v>43.142857142857146</v>
      </c>
    </row>
    <row r="16" spans="1:11" ht="19.350000000000001" customHeight="1">
      <c r="A16" s="46" t="s">
        <v>266</v>
      </c>
      <c r="B16" s="119">
        <v>103</v>
      </c>
      <c r="C16" s="21">
        <f t="shared" ref="C16:E21" si="19">IFERROR(B16/B$14*100,"-")</f>
        <v>35.153583617747444</v>
      </c>
      <c r="D16" s="119">
        <v>110</v>
      </c>
      <c r="E16" s="21">
        <f t="shared" si="19"/>
        <v>33.846153846153847</v>
      </c>
      <c r="F16" s="119">
        <v>69</v>
      </c>
      <c r="G16" s="21">
        <f t="shared" ref="G16" si="20">IFERROR(F16/F$14*100,"-")</f>
        <v>29.237288135593221</v>
      </c>
      <c r="H16" s="27">
        <v>107</v>
      </c>
      <c r="I16" s="21">
        <f t="shared" ref="I16" si="21">IFERROR(H16/H$14*100,"-")</f>
        <v>35.548172757475086</v>
      </c>
      <c r="J16" s="27">
        <v>117</v>
      </c>
      <c r="K16" s="21">
        <f t="shared" ref="K16" si="22">IFERROR(J16/J$14*100,"-")</f>
        <v>33.428571428571431</v>
      </c>
    </row>
    <row r="17" spans="1:11" ht="19.350000000000001" customHeight="1">
      <c r="A17" s="46" t="s">
        <v>267</v>
      </c>
      <c r="B17" s="119">
        <v>18</v>
      </c>
      <c r="C17" s="21">
        <f t="shared" si="19"/>
        <v>6.1433447098976108</v>
      </c>
      <c r="D17" s="119">
        <v>23</v>
      </c>
      <c r="E17" s="21">
        <f t="shared" si="19"/>
        <v>7.0769230769230766</v>
      </c>
      <c r="F17" s="119">
        <v>18</v>
      </c>
      <c r="G17" s="21">
        <f t="shared" ref="G17" si="23">IFERROR(F17/F$14*100,"-")</f>
        <v>7.6271186440677967</v>
      </c>
      <c r="H17" s="27">
        <v>26</v>
      </c>
      <c r="I17" s="21">
        <f t="shared" ref="I17" si="24">IFERROR(H17/H$14*100,"-")</f>
        <v>8.6378737541528228</v>
      </c>
      <c r="J17" s="27">
        <v>22</v>
      </c>
      <c r="K17" s="21">
        <f t="shared" ref="K17" si="25">IFERROR(J17/J$14*100,"-")</f>
        <v>6.2857142857142865</v>
      </c>
    </row>
    <row r="18" spans="1:11" ht="19.350000000000001" customHeight="1">
      <c r="A18" s="46" t="s">
        <v>272</v>
      </c>
      <c r="B18" s="119">
        <v>18</v>
      </c>
      <c r="C18" s="21">
        <f t="shared" si="19"/>
        <v>6.1433447098976108</v>
      </c>
      <c r="D18" s="119">
        <v>25</v>
      </c>
      <c r="E18" s="21">
        <f t="shared" si="19"/>
        <v>7.6923076923076925</v>
      </c>
      <c r="F18" s="119">
        <v>18</v>
      </c>
      <c r="G18" s="21">
        <f t="shared" ref="G18" si="26">IFERROR(F18/F$14*100,"-")</f>
        <v>7.6271186440677967</v>
      </c>
      <c r="H18" s="27">
        <v>21</v>
      </c>
      <c r="I18" s="21">
        <f t="shared" ref="I18" si="27">IFERROR(H18/H$14*100,"-")</f>
        <v>6.9767441860465116</v>
      </c>
      <c r="J18" s="27">
        <v>20</v>
      </c>
      <c r="K18" s="21">
        <f t="shared" ref="K18" si="28">IFERROR(J18/J$14*100,"-")</f>
        <v>5.7142857142857144</v>
      </c>
    </row>
    <row r="19" spans="1:11" ht="19.350000000000001" customHeight="1">
      <c r="A19" s="46" t="s">
        <v>269</v>
      </c>
      <c r="B19" s="119">
        <v>2</v>
      </c>
      <c r="C19" s="21">
        <f t="shared" si="19"/>
        <v>0.68259385665529015</v>
      </c>
      <c r="D19" s="119">
        <v>11</v>
      </c>
      <c r="E19" s="21">
        <f t="shared" si="19"/>
        <v>3.3846153846153846</v>
      </c>
      <c r="F19" s="119">
        <v>8</v>
      </c>
      <c r="G19" s="21">
        <f t="shared" ref="G19" si="29">IFERROR(F19/F$14*100,"-")</f>
        <v>3.3898305084745761</v>
      </c>
      <c r="H19" s="27">
        <v>9</v>
      </c>
      <c r="I19" s="21">
        <f t="shared" ref="I19" si="30">IFERROR(H19/H$14*100,"-")</f>
        <v>2.9900332225913622</v>
      </c>
      <c r="J19" s="27">
        <v>8</v>
      </c>
      <c r="K19" s="21">
        <f t="shared" ref="K19" si="31">IFERROR(J19/J$14*100,"-")</f>
        <v>2.2857142857142856</v>
      </c>
    </row>
    <row r="20" spans="1:11" ht="19.350000000000001" customHeight="1">
      <c r="A20" s="46" t="s">
        <v>270</v>
      </c>
      <c r="B20" s="119">
        <v>3</v>
      </c>
      <c r="C20" s="21">
        <f t="shared" si="19"/>
        <v>1.0238907849829351</v>
      </c>
      <c r="D20" s="119">
        <v>3</v>
      </c>
      <c r="E20" s="21">
        <f t="shared" si="19"/>
        <v>0.92307692307692313</v>
      </c>
      <c r="F20" s="119">
        <v>2</v>
      </c>
      <c r="G20" s="21">
        <f t="shared" ref="G20" si="32">IFERROR(F20/F$14*100,"-")</f>
        <v>0.84745762711864403</v>
      </c>
      <c r="H20" s="27">
        <v>1</v>
      </c>
      <c r="I20" s="21">
        <f t="shared" ref="I20" si="33">IFERROR(H20/H$14*100,"-")</f>
        <v>0.33222591362126247</v>
      </c>
      <c r="J20" s="27">
        <v>4</v>
      </c>
      <c r="K20" s="21">
        <f t="shared" ref="K20" si="34">IFERROR(J20/J$14*100,"-")</f>
        <v>1.1428571428571428</v>
      </c>
    </row>
    <row r="21" spans="1:11" ht="19.350000000000001" customHeight="1">
      <c r="A21" s="113" t="s">
        <v>196</v>
      </c>
      <c r="B21" s="121">
        <v>14</v>
      </c>
      <c r="C21" s="22">
        <f t="shared" si="19"/>
        <v>4.7781569965870307</v>
      </c>
      <c r="D21" s="121">
        <v>10</v>
      </c>
      <c r="E21" s="22">
        <f t="shared" si="19"/>
        <v>3.0769230769230771</v>
      </c>
      <c r="F21" s="121">
        <v>17</v>
      </c>
      <c r="G21" s="22">
        <f t="shared" ref="G21" si="35">IFERROR(F21/F$14*100,"-")</f>
        <v>7.2033898305084749</v>
      </c>
      <c r="H21" s="28">
        <v>19</v>
      </c>
      <c r="I21" s="22">
        <f t="shared" ref="I21" si="36">IFERROR(H21/H$14*100,"-")</f>
        <v>6.3122923588039868</v>
      </c>
      <c r="J21" s="28">
        <v>28</v>
      </c>
      <c r="K21" s="22">
        <f t="shared" ref="K21" si="37">IFERROR(J21/J$14*100,"-")</f>
        <v>8</v>
      </c>
    </row>
    <row r="22" spans="1:11">
      <c r="A22" s="393" t="s">
        <v>412</v>
      </c>
      <c r="B22" s="382"/>
      <c r="C22" s="382"/>
      <c r="D22" s="382"/>
      <c r="E22" s="382"/>
      <c r="F22" s="382"/>
      <c r="G22" s="382"/>
      <c r="H22" s="382"/>
      <c r="J22" s="59"/>
      <c r="K22" s="59"/>
    </row>
    <row r="23" spans="1:11">
      <c r="A23" s="339" t="s">
        <v>423</v>
      </c>
      <c r="B23" s="339"/>
      <c r="C23" s="339"/>
      <c r="D23" s="339"/>
      <c r="E23" s="339"/>
      <c r="F23" s="339"/>
      <c r="I23" s="60"/>
    </row>
    <row r="24" spans="1:11">
      <c r="A24" s="372"/>
      <c r="B24" s="354"/>
      <c r="C24" s="354"/>
      <c r="D24" s="354"/>
      <c r="E24" s="354"/>
    </row>
  </sheetData>
  <sortState ref="A15:K20">
    <sortCondition descending="1" ref="J15:J20"/>
  </sortState>
  <mergeCells count="14">
    <mergeCell ref="A23:F23"/>
    <mergeCell ref="A24:E24"/>
    <mergeCell ref="B12:C12"/>
    <mergeCell ref="D12:E12"/>
    <mergeCell ref="F12:G12"/>
    <mergeCell ref="H12:I12"/>
    <mergeCell ref="J12:K12"/>
    <mergeCell ref="A22:H22"/>
    <mergeCell ref="A1:K1"/>
    <mergeCell ref="B2:C2"/>
    <mergeCell ref="D2:E2"/>
    <mergeCell ref="F2:G2"/>
    <mergeCell ref="H2:I2"/>
    <mergeCell ref="J2:K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5"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25"/>
  <sheetViews>
    <sheetView showGridLines="0" showRuler="0" zoomScale="80" zoomScaleNormal="80" zoomScalePageLayoutView="125" workbookViewId="0">
      <pane xSplit="1" ySplit="4" topLeftCell="B5" activePane="bottomRight" state="frozen"/>
      <selection activeCell="F17" sqref="F17"/>
      <selection pane="topRight" activeCell="F17" sqref="F17"/>
      <selection pane="bottomLeft" activeCell="F17" sqref="F17"/>
      <selection pane="bottomRight" activeCell="F17" sqref="F17"/>
    </sheetView>
  </sheetViews>
  <sheetFormatPr defaultColWidth="9" defaultRowHeight="15.75"/>
  <cols>
    <col min="1" max="1" width="29.125" style="70" customWidth="1"/>
    <col min="2" max="21" width="7.625" style="70" customWidth="1"/>
    <col min="22" max="16384" width="9" style="70"/>
  </cols>
  <sheetData>
    <row r="1" spans="1:21" ht="20.25" customHeight="1">
      <c r="A1" s="297" t="s">
        <v>854</v>
      </c>
      <c r="B1" s="297"/>
      <c r="C1" s="297"/>
      <c r="D1" s="297"/>
      <c r="E1" s="297"/>
      <c r="F1" s="297"/>
      <c r="G1" s="297"/>
      <c r="H1" s="297"/>
      <c r="I1" s="297"/>
      <c r="J1" s="297"/>
      <c r="K1" s="297"/>
      <c r="L1" s="297"/>
      <c r="M1" s="297"/>
      <c r="N1" s="297"/>
      <c r="O1" s="297"/>
      <c r="P1" s="297"/>
      <c r="Q1" s="297"/>
      <c r="R1" s="297"/>
      <c r="S1" s="297"/>
      <c r="T1" s="297"/>
      <c r="U1" s="297"/>
    </row>
    <row r="2" spans="1:21" ht="20.100000000000001" customHeight="1">
      <c r="A2" s="299"/>
      <c r="B2" s="379" t="s">
        <v>652</v>
      </c>
      <c r="C2" s="379"/>
      <c r="D2" s="379"/>
      <c r="E2" s="379"/>
      <c r="F2" s="379" t="s">
        <v>273</v>
      </c>
      <c r="G2" s="379"/>
      <c r="H2" s="379"/>
      <c r="I2" s="379"/>
      <c r="J2" s="379" t="s">
        <v>274</v>
      </c>
      <c r="K2" s="379"/>
      <c r="L2" s="379"/>
      <c r="M2" s="379"/>
      <c r="N2" s="379" t="s">
        <v>275</v>
      </c>
      <c r="O2" s="379"/>
      <c r="P2" s="379"/>
      <c r="Q2" s="379"/>
      <c r="R2" s="379" t="s">
        <v>653</v>
      </c>
      <c r="S2" s="379"/>
      <c r="T2" s="379"/>
      <c r="U2" s="379"/>
    </row>
    <row r="3" spans="1:21" s="216" customFormat="1" ht="20.100000000000001" customHeight="1">
      <c r="A3" s="300"/>
      <c r="B3" s="379" t="s">
        <v>276</v>
      </c>
      <c r="C3" s="379"/>
      <c r="D3" s="379"/>
      <c r="E3" s="299" t="s">
        <v>277</v>
      </c>
      <c r="F3" s="379" t="s">
        <v>278</v>
      </c>
      <c r="G3" s="379"/>
      <c r="H3" s="379"/>
      <c r="I3" s="299" t="s">
        <v>277</v>
      </c>
      <c r="J3" s="379" t="s">
        <v>278</v>
      </c>
      <c r="K3" s="379"/>
      <c r="L3" s="379"/>
      <c r="M3" s="299" t="s">
        <v>277</v>
      </c>
      <c r="N3" s="379" t="s">
        <v>278</v>
      </c>
      <c r="O3" s="379"/>
      <c r="P3" s="379"/>
      <c r="Q3" s="299" t="s">
        <v>279</v>
      </c>
      <c r="R3" s="379" t="s">
        <v>278</v>
      </c>
      <c r="S3" s="379"/>
      <c r="T3" s="379"/>
      <c r="U3" s="299" t="s">
        <v>277</v>
      </c>
    </row>
    <row r="4" spans="1:21" s="216" customFormat="1" ht="20.100000000000001" customHeight="1">
      <c r="A4" s="300"/>
      <c r="B4" s="152" t="s">
        <v>280</v>
      </c>
      <c r="C4" s="219" t="s">
        <v>427</v>
      </c>
      <c r="D4" s="219" t="s">
        <v>428</v>
      </c>
      <c r="E4" s="381"/>
      <c r="F4" s="152" t="s">
        <v>280</v>
      </c>
      <c r="G4" s="219" t="s">
        <v>427</v>
      </c>
      <c r="H4" s="219" t="s">
        <v>428</v>
      </c>
      <c r="I4" s="381"/>
      <c r="J4" s="152" t="s">
        <v>281</v>
      </c>
      <c r="K4" s="219" t="s">
        <v>427</v>
      </c>
      <c r="L4" s="219" t="s">
        <v>428</v>
      </c>
      <c r="M4" s="381"/>
      <c r="N4" s="152" t="s">
        <v>280</v>
      </c>
      <c r="O4" s="219" t="s">
        <v>427</v>
      </c>
      <c r="P4" s="219" t="s">
        <v>428</v>
      </c>
      <c r="Q4" s="381"/>
      <c r="R4" s="152" t="s">
        <v>281</v>
      </c>
      <c r="S4" s="219" t="s">
        <v>427</v>
      </c>
      <c r="T4" s="219" t="s">
        <v>428</v>
      </c>
      <c r="U4" s="381"/>
    </row>
    <row r="5" spans="1:21" s="216" customFormat="1" ht="20.100000000000001" customHeight="1">
      <c r="A5" s="220" t="s">
        <v>282</v>
      </c>
      <c r="B5" s="4">
        <v>2507</v>
      </c>
      <c r="C5" s="4">
        <v>1914</v>
      </c>
      <c r="D5" s="4">
        <v>593</v>
      </c>
      <c r="E5" s="221">
        <f>SUM(E6:E12)</f>
        <v>100.00000000000001</v>
      </c>
      <c r="F5" s="71">
        <v>3302</v>
      </c>
      <c r="G5" s="71">
        <v>2550</v>
      </c>
      <c r="H5" s="71">
        <v>752</v>
      </c>
      <c r="I5" s="221">
        <f>SUM(I6:I12)</f>
        <v>100</v>
      </c>
      <c r="J5" s="71">
        <v>2105</v>
      </c>
      <c r="K5" s="71">
        <v>1547</v>
      </c>
      <c r="L5" s="71">
        <v>558</v>
      </c>
      <c r="M5" s="221">
        <f>SUM(M6:M12)</f>
        <v>100</v>
      </c>
      <c r="N5" s="71">
        <v>2076</v>
      </c>
      <c r="O5" s="4">
        <v>1528</v>
      </c>
      <c r="P5" s="4">
        <v>548</v>
      </c>
      <c r="Q5" s="221">
        <f>SUM(Q6:Q12)</f>
        <v>100.00000000000003</v>
      </c>
      <c r="R5" s="4">
        <v>1386</v>
      </c>
      <c r="S5" s="4">
        <v>1000</v>
      </c>
      <c r="T5" s="4">
        <v>386</v>
      </c>
      <c r="U5" s="221">
        <f>SUM(U6:U12)</f>
        <v>100</v>
      </c>
    </row>
    <row r="6" spans="1:21" ht="33">
      <c r="A6" s="220" t="s">
        <v>288</v>
      </c>
      <c r="B6" s="4">
        <v>2205</v>
      </c>
      <c r="C6" s="4">
        <v>1738</v>
      </c>
      <c r="D6" s="4">
        <v>467</v>
      </c>
      <c r="E6" s="221">
        <f>IFERROR(B6/B$5*100,"-")</f>
        <v>87.953729557239726</v>
      </c>
      <c r="F6" s="4">
        <v>2988</v>
      </c>
      <c r="G6" s="4">
        <v>2360</v>
      </c>
      <c r="H6" s="4">
        <v>628</v>
      </c>
      <c r="I6" s="221">
        <f>IFERROR(F6/F$5*100,"-")</f>
        <v>90.490611750454278</v>
      </c>
      <c r="J6" s="4">
        <v>1801</v>
      </c>
      <c r="K6" s="4">
        <v>1379</v>
      </c>
      <c r="L6" s="4">
        <v>422</v>
      </c>
      <c r="M6" s="221">
        <f>IFERROR(J6/J$5*100,"-")</f>
        <v>85.558194774346802</v>
      </c>
      <c r="N6" s="4">
        <v>1752</v>
      </c>
      <c r="O6" s="4">
        <v>1336</v>
      </c>
      <c r="P6" s="4">
        <v>416</v>
      </c>
      <c r="Q6" s="221">
        <f>IFERROR(N6/N$5*100,"-")</f>
        <v>84.393063583815035</v>
      </c>
      <c r="R6" s="4">
        <v>1112</v>
      </c>
      <c r="S6" s="4">
        <v>826</v>
      </c>
      <c r="T6" s="4">
        <v>286</v>
      </c>
      <c r="U6" s="221">
        <f>IFERROR(R6/R$5*100,"-")</f>
        <v>80.230880230880231</v>
      </c>
    </row>
    <row r="7" spans="1:21" ht="33">
      <c r="A7" s="220" t="s">
        <v>289</v>
      </c>
      <c r="B7" s="4">
        <v>59</v>
      </c>
      <c r="C7" s="4">
        <v>54</v>
      </c>
      <c r="D7" s="4">
        <v>5</v>
      </c>
      <c r="E7" s="221">
        <f t="shared" ref="E7:E12" si="0">IFERROR(B7/B$5*100,"-")</f>
        <v>2.3534104507379339</v>
      </c>
      <c r="F7" s="4">
        <v>59</v>
      </c>
      <c r="G7" s="4">
        <v>55</v>
      </c>
      <c r="H7" s="4">
        <v>4</v>
      </c>
      <c r="I7" s="221">
        <f t="shared" ref="I7:I12" si="1">IFERROR(F7/F$5*100,"-")</f>
        <v>1.7867958812840705</v>
      </c>
      <c r="J7" s="4">
        <v>94</v>
      </c>
      <c r="K7" s="4">
        <v>87</v>
      </c>
      <c r="L7" s="4">
        <v>7</v>
      </c>
      <c r="M7" s="221">
        <f t="shared" ref="M7:M12" si="2">IFERROR(J7/J$5*100,"-")</f>
        <v>4.4655581947743466</v>
      </c>
      <c r="N7" s="4">
        <v>107</v>
      </c>
      <c r="O7" s="4">
        <v>101</v>
      </c>
      <c r="P7" s="4">
        <v>6</v>
      </c>
      <c r="Q7" s="221">
        <f t="shared" ref="Q7:Q12" si="3">IFERROR(N7/N$5*100,"-")</f>
        <v>5.1541425818882463</v>
      </c>
      <c r="R7" s="4">
        <v>96</v>
      </c>
      <c r="S7" s="4">
        <v>93</v>
      </c>
      <c r="T7" s="4">
        <v>3</v>
      </c>
      <c r="U7" s="221">
        <f t="shared" ref="U7:U12" si="4">IFERROR(R7/R$5*100,"-")</f>
        <v>6.9264069264069263</v>
      </c>
    </row>
    <row r="8" spans="1:21" s="216" customFormat="1" ht="31.5" customHeight="1">
      <c r="A8" s="220" t="s">
        <v>287</v>
      </c>
      <c r="B8" s="4">
        <v>23</v>
      </c>
      <c r="C8" s="4">
        <v>23</v>
      </c>
      <c r="D8" s="4" t="s">
        <v>9</v>
      </c>
      <c r="E8" s="221">
        <f t="shared" si="0"/>
        <v>0.91743119266055051</v>
      </c>
      <c r="F8" s="4">
        <v>33</v>
      </c>
      <c r="G8" s="4">
        <v>33</v>
      </c>
      <c r="H8" s="4" t="s">
        <v>9</v>
      </c>
      <c r="I8" s="221">
        <f t="shared" si="1"/>
        <v>0.99939430648092065</v>
      </c>
      <c r="J8" s="4">
        <v>14</v>
      </c>
      <c r="K8" s="4">
        <v>14</v>
      </c>
      <c r="L8" s="4" t="s">
        <v>9</v>
      </c>
      <c r="M8" s="221">
        <f t="shared" si="2"/>
        <v>0.66508313539192399</v>
      </c>
      <c r="N8" s="4">
        <v>25</v>
      </c>
      <c r="O8" s="4">
        <v>25</v>
      </c>
      <c r="P8" s="4" t="s">
        <v>9</v>
      </c>
      <c r="Q8" s="221">
        <f t="shared" si="3"/>
        <v>1.2042389210019269</v>
      </c>
      <c r="R8" s="4">
        <v>25</v>
      </c>
      <c r="S8" s="4">
        <v>24</v>
      </c>
      <c r="T8" s="4">
        <v>1</v>
      </c>
      <c r="U8" s="221">
        <f t="shared" si="4"/>
        <v>1.8037518037518037</v>
      </c>
    </row>
    <row r="9" spans="1:21" s="216" customFormat="1" ht="31.5" customHeight="1">
      <c r="A9" s="220" t="s">
        <v>285</v>
      </c>
      <c r="B9" s="4">
        <v>179</v>
      </c>
      <c r="C9" s="4">
        <v>77</v>
      </c>
      <c r="D9" s="4">
        <v>102</v>
      </c>
      <c r="E9" s="221">
        <f>IFERROR(B9/B$5*100,"-")</f>
        <v>7.1400079776625454</v>
      </c>
      <c r="F9" s="4">
        <v>162</v>
      </c>
      <c r="G9" s="4">
        <v>56</v>
      </c>
      <c r="H9" s="4">
        <v>106</v>
      </c>
      <c r="I9" s="221">
        <f>IFERROR(F9/F$5*100,"-")</f>
        <v>4.9061175045427019</v>
      </c>
      <c r="J9" s="4">
        <v>172</v>
      </c>
      <c r="K9" s="4">
        <v>59</v>
      </c>
      <c r="L9" s="4">
        <v>113</v>
      </c>
      <c r="M9" s="221">
        <f>IFERROR(J9/J$5*100,"-")</f>
        <v>8.1710213776722096</v>
      </c>
      <c r="N9" s="4">
        <v>152</v>
      </c>
      <c r="O9" s="4">
        <v>52</v>
      </c>
      <c r="P9" s="4">
        <v>100</v>
      </c>
      <c r="Q9" s="221">
        <f>IFERROR(N9/N$5*100,"-")</f>
        <v>7.3217726396917149</v>
      </c>
      <c r="R9" s="4">
        <v>124</v>
      </c>
      <c r="S9" s="4">
        <v>42</v>
      </c>
      <c r="T9" s="4">
        <v>82</v>
      </c>
      <c r="U9" s="221">
        <f>IFERROR(R9/R$5*100,"-")</f>
        <v>8.9466089466089471</v>
      </c>
    </row>
    <row r="10" spans="1:21" s="216" customFormat="1" ht="31.5" customHeight="1">
      <c r="A10" s="220" t="s">
        <v>283</v>
      </c>
      <c r="B10" s="4">
        <v>17</v>
      </c>
      <c r="C10" s="4">
        <v>7</v>
      </c>
      <c r="D10" s="4">
        <v>10</v>
      </c>
      <c r="E10" s="221">
        <f t="shared" si="0"/>
        <v>0.67810131631431991</v>
      </c>
      <c r="F10" s="4">
        <v>33</v>
      </c>
      <c r="G10" s="4">
        <v>25</v>
      </c>
      <c r="H10" s="4">
        <v>8</v>
      </c>
      <c r="I10" s="221">
        <f t="shared" si="1"/>
        <v>0.99939430648092065</v>
      </c>
      <c r="J10" s="4">
        <v>13</v>
      </c>
      <c r="K10" s="4">
        <v>6</v>
      </c>
      <c r="L10" s="4">
        <v>7</v>
      </c>
      <c r="M10" s="221">
        <f t="shared" si="2"/>
        <v>0.61757719714964376</v>
      </c>
      <c r="N10" s="4">
        <v>20</v>
      </c>
      <c r="O10" s="4">
        <v>11</v>
      </c>
      <c r="P10" s="4">
        <v>9</v>
      </c>
      <c r="Q10" s="221">
        <f t="shared" si="3"/>
        <v>0.96339113680154131</v>
      </c>
      <c r="R10" s="4">
        <v>24</v>
      </c>
      <c r="S10" s="4">
        <v>12</v>
      </c>
      <c r="T10" s="4">
        <v>12</v>
      </c>
      <c r="U10" s="221">
        <f t="shared" si="4"/>
        <v>1.7316017316017316</v>
      </c>
    </row>
    <row r="11" spans="1:21" s="216" customFormat="1" ht="31.5" customHeight="1">
      <c r="A11" s="220" t="s">
        <v>286</v>
      </c>
      <c r="B11" s="4">
        <v>9</v>
      </c>
      <c r="C11" s="4">
        <v>8</v>
      </c>
      <c r="D11" s="4">
        <v>1</v>
      </c>
      <c r="E11" s="221">
        <f>IFERROR(B11/B$5*100,"-")</f>
        <v>0.35899481451934584</v>
      </c>
      <c r="F11" s="4">
        <v>13</v>
      </c>
      <c r="G11" s="4">
        <v>11</v>
      </c>
      <c r="H11" s="4">
        <v>2</v>
      </c>
      <c r="I11" s="221">
        <f>IFERROR(F11/F$5*100,"-")</f>
        <v>0.39370078740157477</v>
      </c>
      <c r="J11" s="4" t="s">
        <v>10</v>
      </c>
      <c r="K11" s="4" t="s">
        <v>10</v>
      </c>
      <c r="L11" s="4" t="s">
        <v>12</v>
      </c>
      <c r="M11" s="221" t="str">
        <f>IFERROR(J11/J$5*100,"-")</f>
        <v>-</v>
      </c>
      <c r="N11" s="4">
        <v>8</v>
      </c>
      <c r="O11" s="4">
        <v>2</v>
      </c>
      <c r="P11" s="4">
        <v>6</v>
      </c>
      <c r="Q11" s="221">
        <f>IFERROR(N11/N$5*100,"-")</f>
        <v>0.38535645472061658</v>
      </c>
      <c r="R11" s="4">
        <v>3</v>
      </c>
      <c r="S11" s="4">
        <v>3</v>
      </c>
      <c r="T11" s="4" t="s">
        <v>10</v>
      </c>
      <c r="U11" s="221">
        <f>IFERROR(R11/R$5*100,"-")</f>
        <v>0.21645021645021645</v>
      </c>
    </row>
    <row r="12" spans="1:21" s="216" customFormat="1" ht="31.5" customHeight="1" thickBot="1">
      <c r="A12" s="220" t="s">
        <v>284</v>
      </c>
      <c r="B12" s="4">
        <v>15</v>
      </c>
      <c r="C12" s="4">
        <v>7</v>
      </c>
      <c r="D12" s="4">
        <v>8</v>
      </c>
      <c r="E12" s="221">
        <f t="shared" si="0"/>
        <v>0.59832469086557638</v>
      </c>
      <c r="F12" s="4">
        <v>14</v>
      </c>
      <c r="G12" s="4">
        <v>10</v>
      </c>
      <c r="H12" s="4">
        <v>4</v>
      </c>
      <c r="I12" s="221">
        <f t="shared" si="1"/>
        <v>0.4239854633555421</v>
      </c>
      <c r="J12" s="4">
        <v>11</v>
      </c>
      <c r="K12" s="4">
        <v>2</v>
      </c>
      <c r="L12" s="4">
        <v>9</v>
      </c>
      <c r="M12" s="221">
        <f t="shared" si="2"/>
        <v>0.5225653206650831</v>
      </c>
      <c r="N12" s="4">
        <v>12</v>
      </c>
      <c r="O12" s="4">
        <v>1</v>
      </c>
      <c r="P12" s="4">
        <v>11</v>
      </c>
      <c r="Q12" s="221">
        <f t="shared" si="3"/>
        <v>0.57803468208092479</v>
      </c>
      <c r="R12" s="4">
        <v>2</v>
      </c>
      <c r="S12" s="4" t="s">
        <v>10</v>
      </c>
      <c r="T12" s="4">
        <v>2</v>
      </c>
      <c r="U12" s="221">
        <f t="shared" si="4"/>
        <v>0.14430014430014429</v>
      </c>
    </row>
    <row r="13" spans="1:21" ht="20.100000000000001" customHeight="1">
      <c r="A13" s="397"/>
      <c r="B13" s="399" t="s">
        <v>290</v>
      </c>
      <c r="C13" s="399"/>
      <c r="D13" s="399"/>
      <c r="E13" s="399"/>
      <c r="F13" s="399" t="s">
        <v>291</v>
      </c>
      <c r="G13" s="399"/>
      <c r="H13" s="399"/>
      <c r="I13" s="399"/>
      <c r="J13" s="399" t="s">
        <v>292</v>
      </c>
      <c r="K13" s="399"/>
      <c r="L13" s="399"/>
      <c r="M13" s="399"/>
      <c r="N13" s="399" t="s">
        <v>293</v>
      </c>
      <c r="O13" s="399"/>
      <c r="P13" s="399"/>
      <c r="Q13" s="399"/>
      <c r="R13" s="399" t="s">
        <v>654</v>
      </c>
      <c r="S13" s="399"/>
      <c r="T13" s="399"/>
      <c r="U13" s="399"/>
    </row>
    <row r="14" spans="1:21" ht="20.100000000000001" customHeight="1">
      <c r="A14" s="398"/>
      <c r="B14" s="379" t="s">
        <v>276</v>
      </c>
      <c r="C14" s="379"/>
      <c r="D14" s="379"/>
      <c r="E14" s="299" t="s">
        <v>277</v>
      </c>
      <c r="F14" s="379" t="s">
        <v>276</v>
      </c>
      <c r="G14" s="379"/>
      <c r="H14" s="379"/>
      <c r="I14" s="299" t="s">
        <v>277</v>
      </c>
      <c r="J14" s="379" t="s">
        <v>276</v>
      </c>
      <c r="K14" s="379"/>
      <c r="L14" s="379"/>
      <c r="M14" s="299" t="s">
        <v>277</v>
      </c>
      <c r="N14" s="379" t="s">
        <v>276</v>
      </c>
      <c r="O14" s="379"/>
      <c r="P14" s="379"/>
      <c r="Q14" s="299" t="s">
        <v>277</v>
      </c>
      <c r="R14" s="379" t="s">
        <v>276</v>
      </c>
      <c r="S14" s="379"/>
      <c r="T14" s="379"/>
      <c r="U14" s="299" t="s">
        <v>277</v>
      </c>
    </row>
    <row r="15" spans="1:21" ht="20.100000000000001" customHeight="1">
      <c r="A15" s="398"/>
      <c r="B15" s="152" t="s">
        <v>280</v>
      </c>
      <c r="C15" s="219" t="s">
        <v>406</v>
      </c>
      <c r="D15" s="219" t="s">
        <v>407</v>
      </c>
      <c r="E15" s="381"/>
      <c r="F15" s="152" t="s">
        <v>280</v>
      </c>
      <c r="G15" s="219" t="s">
        <v>406</v>
      </c>
      <c r="H15" s="219" t="s">
        <v>407</v>
      </c>
      <c r="I15" s="381"/>
      <c r="J15" s="152" t="s">
        <v>280</v>
      </c>
      <c r="K15" s="219" t="s">
        <v>406</v>
      </c>
      <c r="L15" s="219" t="s">
        <v>407</v>
      </c>
      <c r="M15" s="381"/>
      <c r="N15" s="152" t="s">
        <v>280</v>
      </c>
      <c r="O15" s="219" t="s">
        <v>406</v>
      </c>
      <c r="P15" s="219" t="s">
        <v>407</v>
      </c>
      <c r="Q15" s="381"/>
      <c r="R15" s="152" t="s">
        <v>280</v>
      </c>
      <c r="S15" s="219" t="s">
        <v>406</v>
      </c>
      <c r="T15" s="219" t="s">
        <v>407</v>
      </c>
      <c r="U15" s="381"/>
    </row>
    <row r="16" spans="1:21" ht="20.100000000000001" customHeight="1">
      <c r="A16" s="220" t="s">
        <v>294</v>
      </c>
      <c r="B16" s="4">
        <v>835</v>
      </c>
      <c r="C16" s="4">
        <v>596</v>
      </c>
      <c r="D16" s="4">
        <v>239</v>
      </c>
      <c r="E16" s="221">
        <f>SUM(E17:E23)</f>
        <v>99.999999999999986</v>
      </c>
      <c r="F16" s="4">
        <v>675</v>
      </c>
      <c r="G16" s="71">
        <v>468</v>
      </c>
      <c r="H16" s="71">
        <v>207</v>
      </c>
      <c r="I16" s="221">
        <f>SUM(I17:I23)</f>
        <v>100</v>
      </c>
      <c r="J16" s="4">
        <v>638</v>
      </c>
      <c r="K16" s="71">
        <v>502</v>
      </c>
      <c r="L16" s="71">
        <v>136</v>
      </c>
      <c r="M16" s="221">
        <f t="shared" ref="M16:U16" si="5">SUM(M17:M23)</f>
        <v>100.00000000000001</v>
      </c>
      <c r="N16" s="71">
        <f t="shared" si="5"/>
        <v>544</v>
      </c>
      <c r="O16" s="71">
        <f t="shared" si="5"/>
        <v>442</v>
      </c>
      <c r="P16" s="71">
        <f t="shared" si="5"/>
        <v>102</v>
      </c>
      <c r="Q16" s="6">
        <f t="shared" si="5"/>
        <v>100</v>
      </c>
      <c r="R16" s="71">
        <f t="shared" si="5"/>
        <v>387</v>
      </c>
      <c r="S16" s="71">
        <f t="shared" si="5"/>
        <v>302</v>
      </c>
      <c r="T16" s="71">
        <f t="shared" si="5"/>
        <v>85</v>
      </c>
      <c r="U16" s="6">
        <f t="shared" si="5"/>
        <v>100</v>
      </c>
    </row>
    <row r="17" spans="1:21" ht="31.5" customHeight="1">
      <c r="A17" s="220" t="s">
        <v>424</v>
      </c>
      <c r="B17" s="4">
        <v>553</v>
      </c>
      <c r="C17" s="4">
        <v>419</v>
      </c>
      <c r="D17" s="4">
        <v>134</v>
      </c>
      <c r="E17" s="221">
        <f>IFERROR(B17/B$16*100,"-")</f>
        <v>66.227544910179631</v>
      </c>
      <c r="F17" s="4">
        <v>399</v>
      </c>
      <c r="G17" s="4">
        <v>280</v>
      </c>
      <c r="H17" s="4">
        <v>119</v>
      </c>
      <c r="I17" s="221">
        <f>IFERROR(F17/F$16*100,"-")</f>
        <v>59.111111111111114</v>
      </c>
      <c r="J17" s="4">
        <v>419</v>
      </c>
      <c r="K17" s="4">
        <v>328</v>
      </c>
      <c r="L17" s="4">
        <v>91</v>
      </c>
      <c r="M17" s="221">
        <f>IFERROR(J17/J$16*100,"-")</f>
        <v>65.67398119122258</v>
      </c>
      <c r="N17" s="4">
        <f t="shared" ref="N17:N23" si="6">SUM(O17:P17)</f>
        <v>446</v>
      </c>
      <c r="O17" s="4">
        <v>352</v>
      </c>
      <c r="P17" s="4">
        <v>94</v>
      </c>
      <c r="Q17" s="6">
        <f>IFERROR(N17/N$16*100,"-")</f>
        <v>81.985294117647058</v>
      </c>
      <c r="R17" s="4">
        <f t="shared" ref="R17:R23" si="7">SUM(S17:T17)</f>
        <v>302</v>
      </c>
      <c r="S17" s="4">
        <v>222</v>
      </c>
      <c r="T17" s="4">
        <v>80</v>
      </c>
      <c r="U17" s="6">
        <f>IFERROR(R17/R$16*100,"-")</f>
        <v>78.036175710594307</v>
      </c>
    </row>
    <row r="18" spans="1:21" ht="31.5" customHeight="1">
      <c r="A18" s="220" t="s">
        <v>425</v>
      </c>
      <c r="B18" s="4">
        <v>121</v>
      </c>
      <c r="C18" s="4">
        <v>107</v>
      </c>
      <c r="D18" s="4">
        <v>14</v>
      </c>
      <c r="E18" s="221">
        <f t="shared" ref="E18:E23" si="8">IFERROR(B18/B$16*100,"-")</f>
        <v>14.491017964071856</v>
      </c>
      <c r="F18" s="4">
        <v>121</v>
      </c>
      <c r="G18" s="4">
        <v>114</v>
      </c>
      <c r="H18" s="4">
        <v>7</v>
      </c>
      <c r="I18" s="221">
        <f t="shared" ref="I18:I23" si="9">IFERROR(F18/F$16*100,"-")</f>
        <v>17.925925925925927</v>
      </c>
      <c r="J18" s="4">
        <v>128</v>
      </c>
      <c r="K18" s="4">
        <v>113</v>
      </c>
      <c r="L18" s="4">
        <v>15</v>
      </c>
      <c r="M18" s="221">
        <f t="shared" ref="M18:M23" si="10">IFERROR(J18/J$16*100,"-")</f>
        <v>20.062695924764888</v>
      </c>
      <c r="N18" s="4">
        <f t="shared" si="6"/>
        <v>76</v>
      </c>
      <c r="O18" s="4">
        <v>68</v>
      </c>
      <c r="P18" s="4">
        <v>8</v>
      </c>
      <c r="Q18" s="6">
        <f t="shared" ref="Q18:Q23" si="11">IFERROR(N18/N$16*100,"-")</f>
        <v>13.970588235294118</v>
      </c>
      <c r="R18" s="4">
        <f t="shared" si="7"/>
        <v>72</v>
      </c>
      <c r="S18" s="4">
        <v>68</v>
      </c>
      <c r="T18" s="4">
        <v>4</v>
      </c>
      <c r="U18" s="6">
        <f t="shared" ref="U18:U23" si="12">IFERROR(R18/R$16*100,"-")</f>
        <v>18.604651162790699</v>
      </c>
    </row>
    <row r="19" spans="1:21" ht="31.5" customHeight="1">
      <c r="A19" s="220" t="s">
        <v>811</v>
      </c>
      <c r="B19" s="4">
        <v>14</v>
      </c>
      <c r="C19" s="4">
        <v>14</v>
      </c>
      <c r="D19" s="4" t="s">
        <v>9</v>
      </c>
      <c r="E19" s="221">
        <f t="shared" si="8"/>
        <v>1.6766467065868262</v>
      </c>
      <c r="F19" s="4">
        <v>18</v>
      </c>
      <c r="G19" s="4">
        <v>17</v>
      </c>
      <c r="H19" s="4">
        <v>1</v>
      </c>
      <c r="I19" s="221">
        <f t="shared" si="9"/>
        <v>2.666666666666667</v>
      </c>
      <c r="J19" s="4">
        <v>19</v>
      </c>
      <c r="K19" s="4">
        <v>19</v>
      </c>
      <c r="L19" s="4" t="s">
        <v>12</v>
      </c>
      <c r="M19" s="221">
        <f t="shared" si="10"/>
        <v>2.9780564263322882</v>
      </c>
      <c r="N19" s="4">
        <f t="shared" si="6"/>
        <v>22</v>
      </c>
      <c r="O19" s="4">
        <v>22</v>
      </c>
      <c r="P19" s="4" t="s">
        <v>17</v>
      </c>
      <c r="Q19" s="6">
        <f t="shared" si="11"/>
        <v>4.0441176470588234</v>
      </c>
      <c r="R19" s="4">
        <f t="shared" si="7"/>
        <v>13</v>
      </c>
      <c r="S19" s="4">
        <v>12</v>
      </c>
      <c r="T19" s="4">
        <v>1</v>
      </c>
      <c r="U19" s="6">
        <f t="shared" si="12"/>
        <v>3.3591731266149871</v>
      </c>
    </row>
    <row r="20" spans="1:21" ht="31.5" customHeight="1">
      <c r="A20" s="220" t="s">
        <v>297</v>
      </c>
      <c r="B20" s="4">
        <v>111</v>
      </c>
      <c r="C20" s="4">
        <v>37</v>
      </c>
      <c r="D20" s="4">
        <v>74</v>
      </c>
      <c r="E20" s="221">
        <f>IFERROR(B20/B$16*100,"-")</f>
        <v>13.293413173652693</v>
      </c>
      <c r="F20" s="4">
        <v>107</v>
      </c>
      <c r="G20" s="4">
        <v>34</v>
      </c>
      <c r="H20" s="4">
        <v>73</v>
      </c>
      <c r="I20" s="221">
        <f>IFERROR(F20/F$16*100,"-")</f>
        <v>15.851851851851853</v>
      </c>
      <c r="J20" s="4">
        <v>58</v>
      </c>
      <c r="K20" s="4">
        <v>30</v>
      </c>
      <c r="L20" s="4">
        <v>28</v>
      </c>
      <c r="M20" s="221">
        <f>IFERROR(J20/J$16*100,"-")</f>
        <v>9.0909090909090917</v>
      </c>
      <c r="N20" s="4">
        <f>SUM(O20:P20)</f>
        <v>0</v>
      </c>
      <c r="O20" s="4" t="s">
        <v>17</v>
      </c>
      <c r="P20" s="4" t="s">
        <v>15</v>
      </c>
      <c r="Q20" s="4">
        <f>IFERROR(N20/N$16*100,"-")</f>
        <v>0</v>
      </c>
      <c r="R20" s="4">
        <f>SUM(S20:T20)</f>
        <v>0</v>
      </c>
      <c r="S20" s="4" t="s">
        <v>17</v>
      </c>
      <c r="T20" s="4" t="s">
        <v>15</v>
      </c>
      <c r="U20" s="4">
        <f>IFERROR(R20/R$16*100,"-")</f>
        <v>0</v>
      </c>
    </row>
    <row r="21" spans="1:21" ht="31.5" customHeight="1">
      <c r="A21" s="220" t="s">
        <v>295</v>
      </c>
      <c r="B21" s="4">
        <v>35</v>
      </c>
      <c r="C21" s="4">
        <v>19</v>
      </c>
      <c r="D21" s="4">
        <v>16</v>
      </c>
      <c r="E21" s="221">
        <f t="shared" si="8"/>
        <v>4.1916167664670656</v>
      </c>
      <c r="F21" s="4">
        <v>23</v>
      </c>
      <c r="G21" s="4">
        <v>18</v>
      </c>
      <c r="H21" s="4">
        <v>5</v>
      </c>
      <c r="I21" s="221">
        <f t="shared" si="9"/>
        <v>3.4074074074074074</v>
      </c>
      <c r="J21" s="4">
        <v>7</v>
      </c>
      <c r="K21" s="4">
        <v>6</v>
      </c>
      <c r="L21" s="4">
        <v>1</v>
      </c>
      <c r="M21" s="221">
        <f t="shared" si="10"/>
        <v>1.0971786833855799</v>
      </c>
      <c r="N21" s="4">
        <f t="shared" si="6"/>
        <v>0</v>
      </c>
      <c r="O21" s="4" t="s">
        <v>138</v>
      </c>
      <c r="P21" s="4" t="s">
        <v>15</v>
      </c>
      <c r="Q21" s="4">
        <f t="shared" si="11"/>
        <v>0</v>
      </c>
      <c r="R21" s="4">
        <f t="shared" si="7"/>
        <v>0</v>
      </c>
      <c r="S21" s="4" t="s">
        <v>138</v>
      </c>
      <c r="T21" s="4" t="s">
        <v>15</v>
      </c>
      <c r="U21" s="4">
        <f t="shared" si="12"/>
        <v>0</v>
      </c>
    </row>
    <row r="22" spans="1:21" ht="31.5" customHeight="1">
      <c r="A22" s="220" t="s">
        <v>298</v>
      </c>
      <c r="B22" s="4" t="s">
        <v>9</v>
      </c>
      <c r="C22" s="4" t="s">
        <v>10</v>
      </c>
      <c r="D22" s="4" t="s">
        <v>12</v>
      </c>
      <c r="E22" s="221" t="str">
        <f>IFERROR(B22/B$16*100,"-")</f>
        <v>-</v>
      </c>
      <c r="F22" s="4">
        <v>2</v>
      </c>
      <c r="G22" s="4">
        <v>2</v>
      </c>
      <c r="H22" s="4" t="s">
        <v>9</v>
      </c>
      <c r="I22" s="221">
        <f>IFERROR(F22/F$16*100,"-")</f>
        <v>0.29629629629629628</v>
      </c>
      <c r="J22" s="4">
        <v>5</v>
      </c>
      <c r="K22" s="4">
        <v>5</v>
      </c>
      <c r="L22" s="4" t="s">
        <v>9</v>
      </c>
      <c r="M22" s="221">
        <f>IFERROR(J22/J$16*100,"-")</f>
        <v>0.7836990595611284</v>
      </c>
      <c r="N22" s="4">
        <f>SUM(O22:P22)</f>
        <v>0</v>
      </c>
      <c r="O22" s="4" t="s">
        <v>15</v>
      </c>
      <c r="P22" s="4" t="s">
        <v>15</v>
      </c>
      <c r="Q22" s="4">
        <f>IFERROR(N22/N$16*100,"-")</f>
        <v>0</v>
      </c>
      <c r="R22" s="4">
        <f>SUM(S22:T22)</f>
        <v>0</v>
      </c>
      <c r="S22" s="4" t="s">
        <v>15</v>
      </c>
      <c r="T22" s="4" t="s">
        <v>15</v>
      </c>
      <c r="U22" s="4">
        <f>IFERROR(R22/R$16*100,"-")</f>
        <v>0</v>
      </c>
    </row>
    <row r="23" spans="1:21" s="216" customFormat="1" ht="31.5" customHeight="1">
      <c r="A23" s="222" t="s">
        <v>296</v>
      </c>
      <c r="B23" s="9">
        <v>1</v>
      </c>
      <c r="C23" s="9" t="s">
        <v>10</v>
      </c>
      <c r="D23" s="9">
        <v>1</v>
      </c>
      <c r="E23" s="223">
        <f t="shared" si="8"/>
        <v>0.11976047904191617</v>
      </c>
      <c r="F23" s="9">
        <v>5</v>
      </c>
      <c r="G23" s="9">
        <v>3</v>
      </c>
      <c r="H23" s="9">
        <v>2</v>
      </c>
      <c r="I23" s="223">
        <f t="shared" si="9"/>
        <v>0.74074074074074081</v>
      </c>
      <c r="J23" s="9">
        <v>2</v>
      </c>
      <c r="K23" s="9">
        <v>1</v>
      </c>
      <c r="L23" s="9">
        <v>1</v>
      </c>
      <c r="M23" s="223">
        <f t="shared" si="10"/>
        <v>0.31347962382445138</v>
      </c>
      <c r="N23" s="9">
        <f t="shared" si="6"/>
        <v>0</v>
      </c>
      <c r="O23" s="9" t="s">
        <v>15</v>
      </c>
      <c r="P23" s="9" t="s">
        <v>15</v>
      </c>
      <c r="Q23" s="9">
        <f t="shared" si="11"/>
        <v>0</v>
      </c>
      <c r="R23" s="9">
        <f t="shared" si="7"/>
        <v>0</v>
      </c>
      <c r="S23" s="9" t="s">
        <v>15</v>
      </c>
      <c r="T23" s="9" t="s">
        <v>15</v>
      </c>
      <c r="U23" s="9">
        <f t="shared" si="12"/>
        <v>0</v>
      </c>
    </row>
    <row r="24" spans="1:21">
      <c r="A24" s="296" t="s">
        <v>426</v>
      </c>
      <c r="B24" s="296"/>
      <c r="C24" s="296"/>
      <c r="D24" s="296"/>
      <c r="E24" s="296"/>
      <c r="F24" s="296"/>
      <c r="G24" s="296"/>
      <c r="H24" s="73"/>
      <c r="I24" s="73"/>
      <c r="J24" s="73"/>
      <c r="K24" s="73"/>
      <c r="L24" s="73"/>
      <c r="M24" s="73"/>
      <c r="N24" s="224"/>
      <c r="O24" s="224"/>
      <c r="P24" s="224"/>
      <c r="Q24" s="73"/>
      <c r="R24" s="73"/>
      <c r="S24" s="73"/>
      <c r="T24" s="73"/>
      <c r="U24" s="73"/>
    </row>
    <row r="25" spans="1:21" ht="89.25" customHeight="1">
      <c r="A25" s="395" t="s">
        <v>867</v>
      </c>
      <c r="B25" s="396"/>
      <c r="C25" s="396"/>
      <c r="D25" s="396"/>
      <c r="E25" s="396"/>
      <c r="F25" s="396"/>
      <c r="G25" s="396"/>
      <c r="H25" s="396"/>
      <c r="I25" s="396"/>
      <c r="J25" s="396"/>
      <c r="K25" s="396"/>
      <c r="L25" s="396"/>
      <c r="M25" s="396"/>
      <c r="N25" s="396"/>
      <c r="O25" s="396"/>
      <c r="P25" s="396"/>
      <c r="Q25" s="396"/>
      <c r="R25" s="396"/>
      <c r="S25" s="396"/>
      <c r="T25" s="396"/>
      <c r="U25" s="396"/>
    </row>
  </sheetData>
  <sortState ref="A17:U23">
    <sortCondition descending="1" ref="R17:R23"/>
  </sortState>
  <mergeCells count="35">
    <mergeCell ref="A24:G24"/>
    <mergeCell ref="F13:I13"/>
    <mergeCell ref="Q3:Q4"/>
    <mergeCell ref="J3:L3"/>
    <mergeCell ref="M3:M4"/>
    <mergeCell ref="N3:P3"/>
    <mergeCell ref="A25:U25"/>
    <mergeCell ref="I14:I15"/>
    <mergeCell ref="J14:L14"/>
    <mergeCell ref="M14:M15"/>
    <mergeCell ref="N14:P14"/>
    <mergeCell ref="Q14:Q15"/>
    <mergeCell ref="R14:T14"/>
    <mergeCell ref="A13:A15"/>
    <mergeCell ref="R13:U13"/>
    <mergeCell ref="B14:D14"/>
    <mergeCell ref="E14:E15"/>
    <mergeCell ref="F14:H14"/>
    <mergeCell ref="U14:U15"/>
    <mergeCell ref="J13:M13"/>
    <mergeCell ref="N13:Q13"/>
    <mergeCell ref="B13:E13"/>
    <mergeCell ref="A1:U1"/>
    <mergeCell ref="A2:A4"/>
    <mergeCell ref="B2:E2"/>
    <mergeCell ref="F2:I2"/>
    <mergeCell ref="J2:M2"/>
    <mergeCell ref="N2:Q2"/>
    <mergeCell ref="R2:U2"/>
    <mergeCell ref="B3:D3"/>
    <mergeCell ref="E3:E4"/>
    <mergeCell ref="F3:H3"/>
    <mergeCell ref="U3:U4"/>
    <mergeCell ref="R3:T3"/>
    <mergeCell ref="I3:I4"/>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45"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8"/>
  <sheetViews>
    <sheetView showGridLines="0" showRuler="0" zoomScaleNormal="100" zoomScalePageLayoutView="125" workbookViewId="0">
      <selection activeCell="F17" sqref="F17"/>
    </sheetView>
  </sheetViews>
  <sheetFormatPr defaultColWidth="9" defaultRowHeight="20.100000000000001" customHeight="1"/>
  <cols>
    <col min="1" max="1" width="19" style="1" customWidth="1"/>
    <col min="2" max="11" width="9" style="1" customWidth="1"/>
    <col min="12" max="16384" width="9" style="1"/>
  </cols>
  <sheetData>
    <row r="1" spans="1:11" ht="24" customHeight="1">
      <c r="A1" s="297" t="s">
        <v>855</v>
      </c>
      <c r="B1" s="297"/>
      <c r="C1" s="297"/>
      <c r="D1" s="297"/>
      <c r="E1" s="297"/>
      <c r="F1" s="297"/>
      <c r="G1" s="297"/>
      <c r="H1" s="297"/>
      <c r="I1" s="297"/>
      <c r="J1" s="297"/>
      <c r="K1" s="297"/>
    </row>
    <row r="2" spans="1:11" ht="20.100000000000001" customHeight="1">
      <c r="A2" s="74"/>
      <c r="B2" s="379" t="s">
        <v>656</v>
      </c>
      <c r="C2" s="302"/>
      <c r="D2" s="379" t="s">
        <v>612</v>
      </c>
      <c r="E2" s="302"/>
      <c r="F2" s="379" t="s">
        <v>613</v>
      </c>
      <c r="G2" s="302"/>
      <c r="H2" s="379" t="s">
        <v>614</v>
      </c>
      <c r="I2" s="302"/>
      <c r="J2" s="379" t="s">
        <v>615</v>
      </c>
      <c r="K2" s="302"/>
    </row>
    <row r="3" spans="1:11" s="30" customFormat="1" ht="20.100000000000001" customHeight="1">
      <c r="B3" s="115" t="s">
        <v>299</v>
      </c>
      <c r="C3" s="115" t="s">
        <v>241</v>
      </c>
      <c r="D3" s="115" t="s">
        <v>240</v>
      </c>
      <c r="E3" s="115" t="s">
        <v>241</v>
      </c>
      <c r="F3" s="115" t="s">
        <v>240</v>
      </c>
      <c r="G3" s="115" t="s">
        <v>241</v>
      </c>
      <c r="H3" s="115" t="s">
        <v>240</v>
      </c>
      <c r="I3" s="115" t="s">
        <v>241</v>
      </c>
      <c r="J3" s="115" t="s">
        <v>242</v>
      </c>
      <c r="K3" s="115" t="s">
        <v>241</v>
      </c>
    </row>
    <row r="4" spans="1:11" s="17" customFormat="1" ht="20.100000000000001" customHeight="1">
      <c r="A4" s="1" t="s">
        <v>300</v>
      </c>
      <c r="B4" s="27">
        <f t="shared" ref="B4:F4" si="0">SUM(B5:B6)</f>
        <v>2507</v>
      </c>
      <c r="C4" s="20">
        <f>SUM(B5:B6)/B4*100</f>
        <v>100</v>
      </c>
      <c r="D4" s="27">
        <f t="shared" si="0"/>
        <v>3302</v>
      </c>
      <c r="E4" s="20">
        <f>SUM(D5:D6)/D4*100</f>
        <v>100</v>
      </c>
      <c r="F4" s="27">
        <f t="shared" si="0"/>
        <v>2105</v>
      </c>
      <c r="G4" s="20">
        <f>SUM(F5:F6)/F4*100</f>
        <v>100</v>
      </c>
      <c r="H4" s="76">
        <f>SUM(H5:H6)</f>
        <v>2076</v>
      </c>
      <c r="I4" s="20">
        <f>SUM(H5:H6)/H4*100</f>
        <v>100</v>
      </c>
      <c r="J4" s="27">
        <f t="shared" ref="J4" si="1">SUM(J5:J6)</f>
        <v>1386</v>
      </c>
      <c r="K4" s="20">
        <f>SUM(J5:J6)/J4*100</f>
        <v>100</v>
      </c>
    </row>
    <row r="5" spans="1:11" s="17" customFormat="1" ht="16.5" customHeight="1">
      <c r="A5" s="53" t="s">
        <v>301</v>
      </c>
      <c r="B5" s="27">
        <v>1914</v>
      </c>
      <c r="C5" s="21">
        <f>IFERROR(B5/B$4*100,"-")</f>
        <v>76.346230554447544</v>
      </c>
      <c r="D5" s="27">
        <v>2550</v>
      </c>
      <c r="E5" s="21">
        <f>IFERROR(D5/D$4*100,"-")</f>
        <v>77.225923682616596</v>
      </c>
      <c r="F5" s="116">
        <v>1547</v>
      </c>
      <c r="G5" s="21">
        <f>IFERROR(F5/F$4*100,"-")</f>
        <v>73.4916864608076</v>
      </c>
      <c r="H5" s="27">
        <v>1528</v>
      </c>
      <c r="I5" s="21">
        <f>IFERROR(H5/H$4*100,"-")</f>
        <v>73.603082851637765</v>
      </c>
      <c r="J5" s="27">
        <v>1000</v>
      </c>
      <c r="K5" s="21">
        <f>IFERROR(J5/J$4*100,"-")</f>
        <v>72.150072150072148</v>
      </c>
    </row>
    <row r="6" spans="1:11" s="17" customFormat="1" ht="17.25" customHeight="1">
      <c r="A6" s="114" t="s">
        <v>244</v>
      </c>
      <c r="B6" s="28">
        <v>593</v>
      </c>
      <c r="C6" s="22">
        <f t="shared" ref="C6:E13" si="2">IFERROR(B6/B$4*100,"-")</f>
        <v>23.653769445552452</v>
      </c>
      <c r="D6" s="28">
        <v>752</v>
      </c>
      <c r="E6" s="22">
        <f t="shared" si="2"/>
        <v>22.774076317383404</v>
      </c>
      <c r="F6" s="117">
        <v>558</v>
      </c>
      <c r="G6" s="22">
        <f t="shared" ref="G6" si="3">IFERROR(F6/F$4*100,"-")</f>
        <v>26.508313539192397</v>
      </c>
      <c r="H6" s="28">
        <v>548</v>
      </c>
      <c r="I6" s="22">
        <f t="shared" ref="I6" si="4">IFERROR(H6/H$4*100,"-")</f>
        <v>26.396917148362238</v>
      </c>
      <c r="J6" s="28">
        <v>386</v>
      </c>
      <c r="K6" s="22">
        <f t="shared" ref="K6" si="5">IFERROR(J6/J$4*100,"-")</f>
        <v>27.849927849927852</v>
      </c>
    </row>
    <row r="7" spans="1:11" ht="20.100000000000001" customHeight="1">
      <c r="A7" s="46" t="s">
        <v>302</v>
      </c>
      <c r="B7" s="27" t="s">
        <v>250</v>
      </c>
      <c r="C7" s="21" t="str">
        <f t="shared" si="2"/>
        <v>-</v>
      </c>
      <c r="D7" s="27">
        <v>1</v>
      </c>
      <c r="E7" s="21">
        <f t="shared" si="2"/>
        <v>3.0284675953967291E-2</v>
      </c>
      <c r="F7" s="27" t="s">
        <v>83</v>
      </c>
      <c r="G7" s="21" t="str">
        <f t="shared" ref="G7" si="6">IFERROR(F7/F$4*100,"-")</f>
        <v>-</v>
      </c>
      <c r="H7" s="27" t="s">
        <v>84</v>
      </c>
      <c r="I7" s="21" t="str">
        <f t="shared" ref="I7" si="7">IFERROR(H7/H$4*100,"-")</f>
        <v>-</v>
      </c>
      <c r="J7" s="27" t="s">
        <v>250</v>
      </c>
      <c r="K7" s="21" t="str">
        <f t="shared" ref="K7" si="8">IFERROR(J7/J$4*100,"-")</f>
        <v>-</v>
      </c>
    </row>
    <row r="8" spans="1:11" ht="20.100000000000001" customHeight="1">
      <c r="A8" s="46" t="s">
        <v>303</v>
      </c>
      <c r="B8" s="27">
        <v>18</v>
      </c>
      <c r="C8" s="21">
        <f t="shared" si="2"/>
        <v>0.71798962903869168</v>
      </c>
      <c r="D8" s="27">
        <v>19</v>
      </c>
      <c r="E8" s="21">
        <f t="shared" si="2"/>
        <v>0.57540884312537854</v>
      </c>
      <c r="F8" s="27">
        <v>19</v>
      </c>
      <c r="G8" s="21">
        <f t="shared" ref="G8" si="9">IFERROR(F8/F$4*100,"-")</f>
        <v>0.90261282660332542</v>
      </c>
      <c r="H8" s="27">
        <v>19</v>
      </c>
      <c r="I8" s="21">
        <f t="shared" ref="I8" si="10">IFERROR(H8/H$4*100,"-")</f>
        <v>0.91522157996146436</v>
      </c>
      <c r="J8" s="27">
        <v>18</v>
      </c>
      <c r="K8" s="21">
        <f t="shared" ref="K8" si="11">IFERROR(J8/J$4*100,"-")</f>
        <v>1.2987012987012987</v>
      </c>
    </row>
    <row r="9" spans="1:11" ht="20.100000000000001" customHeight="1">
      <c r="A9" s="46" t="s">
        <v>304</v>
      </c>
      <c r="B9" s="27">
        <v>120</v>
      </c>
      <c r="C9" s="21">
        <f t="shared" si="2"/>
        <v>4.786597526924611</v>
      </c>
      <c r="D9" s="27">
        <v>144</v>
      </c>
      <c r="E9" s="21">
        <f t="shared" si="2"/>
        <v>4.3609933373712906</v>
      </c>
      <c r="F9" s="27">
        <v>104</v>
      </c>
      <c r="G9" s="21">
        <f t="shared" ref="G9" si="12">IFERROR(F9/F$4*100,"-")</f>
        <v>4.9406175771971501</v>
      </c>
      <c r="H9" s="27">
        <v>107</v>
      </c>
      <c r="I9" s="21">
        <f t="shared" ref="I9" si="13">IFERROR(H9/H$4*100,"-")</f>
        <v>5.1541425818882463</v>
      </c>
      <c r="J9" s="27">
        <v>66</v>
      </c>
      <c r="K9" s="21">
        <f t="shared" ref="K9" si="14">IFERROR(J9/J$4*100,"-")</f>
        <v>4.7619047619047619</v>
      </c>
    </row>
    <row r="10" spans="1:11" ht="20.100000000000001" customHeight="1">
      <c r="A10" s="46" t="s">
        <v>305</v>
      </c>
      <c r="B10" s="27">
        <v>366</v>
      </c>
      <c r="C10" s="21">
        <f t="shared" si="2"/>
        <v>14.599122457120064</v>
      </c>
      <c r="D10" s="27">
        <v>328</v>
      </c>
      <c r="E10" s="21">
        <f t="shared" si="2"/>
        <v>9.9333737129012718</v>
      </c>
      <c r="F10" s="27">
        <v>227</v>
      </c>
      <c r="G10" s="21">
        <f t="shared" ref="G10" si="15">IFERROR(F10/F$4*100,"-")</f>
        <v>10.783847980997626</v>
      </c>
      <c r="H10" s="27">
        <v>248</v>
      </c>
      <c r="I10" s="21">
        <f t="shared" ref="I10" si="16">IFERROR(H10/H$4*100,"-")</f>
        <v>11.946050096339114</v>
      </c>
      <c r="J10" s="27">
        <v>185</v>
      </c>
      <c r="K10" s="21">
        <f t="shared" ref="K10" si="17">IFERROR(J10/J$4*100,"-")</f>
        <v>13.347763347763347</v>
      </c>
    </row>
    <row r="11" spans="1:11" ht="20.100000000000001" customHeight="1">
      <c r="A11" s="46" t="s">
        <v>306</v>
      </c>
      <c r="B11" s="27">
        <v>515</v>
      </c>
      <c r="C11" s="21">
        <f t="shared" si="2"/>
        <v>20.542481053051457</v>
      </c>
      <c r="D11" s="27">
        <v>639</v>
      </c>
      <c r="E11" s="21">
        <f t="shared" si="2"/>
        <v>19.3519079345851</v>
      </c>
      <c r="F11" s="27">
        <v>353</v>
      </c>
      <c r="G11" s="21">
        <f t="shared" ref="G11" si="18">IFERROR(F11/F$4*100,"-")</f>
        <v>16.769596199524941</v>
      </c>
      <c r="H11" s="27">
        <v>304</v>
      </c>
      <c r="I11" s="21">
        <f t="shared" ref="I11" si="19">IFERROR(H11/H$4*100,"-")</f>
        <v>14.64354527938343</v>
      </c>
      <c r="J11" s="27">
        <v>209</v>
      </c>
      <c r="K11" s="21">
        <f t="shared" ref="K11" si="20">IFERROR(J11/J$4*100,"-")</f>
        <v>15.079365079365079</v>
      </c>
    </row>
    <row r="12" spans="1:11" ht="20.100000000000001" customHeight="1">
      <c r="A12" s="46" t="s">
        <v>307</v>
      </c>
      <c r="B12" s="27">
        <v>648</v>
      </c>
      <c r="C12" s="21">
        <f t="shared" si="2"/>
        <v>25.8476266453929</v>
      </c>
      <c r="D12" s="27">
        <v>906</v>
      </c>
      <c r="E12" s="21">
        <f t="shared" si="2"/>
        <v>27.437916414294367</v>
      </c>
      <c r="F12" s="27">
        <v>557</v>
      </c>
      <c r="G12" s="21">
        <f t="shared" ref="G12" si="21">IFERROR(F12/F$4*100,"-")</f>
        <v>26.460807600950119</v>
      </c>
      <c r="H12" s="27">
        <v>539</v>
      </c>
      <c r="I12" s="21">
        <f t="shared" ref="I12" si="22">IFERROR(H12/H$4*100,"-")</f>
        <v>25.96339113680154</v>
      </c>
      <c r="J12" s="27">
        <v>345</v>
      </c>
      <c r="K12" s="21">
        <f t="shared" ref="K12" si="23">IFERROR(J12/J$4*100,"-")</f>
        <v>24.891774891774894</v>
      </c>
    </row>
    <row r="13" spans="1:11" ht="20.100000000000001" customHeight="1" thickBot="1">
      <c r="A13" s="180" t="s">
        <v>308</v>
      </c>
      <c r="B13" s="125">
        <v>840</v>
      </c>
      <c r="C13" s="37">
        <f t="shared" si="2"/>
        <v>33.506182688472279</v>
      </c>
      <c r="D13" s="125">
        <v>1265</v>
      </c>
      <c r="E13" s="37">
        <f t="shared" si="2"/>
        <v>38.310115081768629</v>
      </c>
      <c r="F13" s="125">
        <v>845</v>
      </c>
      <c r="G13" s="37">
        <f t="shared" ref="G13" si="24">IFERROR(F13/F$4*100,"-")</f>
        <v>40.142517814726844</v>
      </c>
      <c r="H13" s="125">
        <v>859</v>
      </c>
      <c r="I13" s="37">
        <f t="shared" ref="I13" si="25">IFERROR(H13/H$4*100,"-")</f>
        <v>41.377649325626201</v>
      </c>
      <c r="J13" s="125">
        <v>563</v>
      </c>
      <c r="K13" s="37">
        <f t="shared" ref="K13" si="26">IFERROR(J13/J$4*100,"-")</f>
        <v>40.620490620490621</v>
      </c>
    </row>
    <row r="14" spans="1:11" ht="20.100000000000001" customHeight="1">
      <c r="A14" s="30"/>
      <c r="B14" s="381" t="s">
        <v>616</v>
      </c>
      <c r="C14" s="343"/>
      <c r="D14" s="381" t="s">
        <v>617</v>
      </c>
      <c r="E14" s="343"/>
      <c r="F14" s="381" t="s">
        <v>618</v>
      </c>
      <c r="G14" s="343"/>
      <c r="H14" s="381" t="s">
        <v>619</v>
      </c>
      <c r="I14" s="343"/>
      <c r="J14" s="381" t="s">
        <v>620</v>
      </c>
      <c r="K14" s="343"/>
    </row>
    <row r="15" spans="1:11" s="30" customFormat="1" ht="20.100000000000001" customHeight="1">
      <c r="B15" s="115" t="s">
        <v>143</v>
      </c>
      <c r="C15" s="115" t="s">
        <v>122</v>
      </c>
      <c r="D15" s="115" t="s">
        <v>143</v>
      </c>
      <c r="E15" s="115" t="s">
        <v>122</v>
      </c>
      <c r="F15" s="115" t="s">
        <v>143</v>
      </c>
      <c r="G15" s="115" t="s">
        <v>122</v>
      </c>
      <c r="H15" s="115" t="s">
        <v>143</v>
      </c>
      <c r="I15" s="115" t="s">
        <v>5</v>
      </c>
      <c r="J15" s="115" t="s">
        <v>143</v>
      </c>
      <c r="K15" s="115" t="s">
        <v>122</v>
      </c>
    </row>
    <row r="16" spans="1:11" s="17" customFormat="1" ht="20.100000000000001" customHeight="1">
      <c r="A16" s="1" t="s">
        <v>153</v>
      </c>
      <c r="B16" s="27">
        <f t="shared" ref="B16:F16" si="27">SUM(B17:B18)</f>
        <v>835</v>
      </c>
      <c r="C16" s="20">
        <f>SUM(B17:B18)/B16*100</f>
        <v>100</v>
      </c>
      <c r="D16" s="27">
        <f t="shared" si="27"/>
        <v>675</v>
      </c>
      <c r="E16" s="20">
        <f>SUM(D17:D18)/D16*100</f>
        <v>100</v>
      </c>
      <c r="F16" s="27">
        <f t="shared" si="27"/>
        <v>638</v>
      </c>
      <c r="G16" s="20">
        <f>SUM(F17:F18)/F16*100</f>
        <v>100</v>
      </c>
      <c r="H16" s="76">
        <f>SUM(H19:H25)</f>
        <v>544</v>
      </c>
      <c r="I16" s="20">
        <f>SUM(H17:H18)/H16*100</f>
        <v>100</v>
      </c>
      <c r="J16" s="76">
        <f>SUM(J19:J25)</f>
        <v>387</v>
      </c>
      <c r="K16" s="20">
        <f>SUM(J17:J18)/J16*100</f>
        <v>100</v>
      </c>
    </row>
    <row r="17" spans="1:11" s="17" customFormat="1" ht="16.5" customHeight="1">
      <c r="A17" s="53" t="s">
        <v>309</v>
      </c>
      <c r="B17" s="27">
        <v>596</v>
      </c>
      <c r="C17" s="21">
        <f>IFERROR(B17/B$16*100,"-")</f>
        <v>71.377245508982028</v>
      </c>
      <c r="D17" s="27">
        <v>468</v>
      </c>
      <c r="E17" s="21">
        <f>IFERROR(D17/D$16*100,"-")</f>
        <v>69.333333333333343</v>
      </c>
      <c r="F17" s="116">
        <v>502</v>
      </c>
      <c r="G17" s="21">
        <f>IFERROR(F17/F$16*100,"-")</f>
        <v>78.683385579937308</v>
      </c>
      <c r="H17" s="27">
        <v>442</v>
      </c>
      <c r="I17" s="21">
        <f>IFERROR(H17/H$16*100,"-")</f>
        <v>81.25</v>
      </c>
      <c r="J17" s="27">
        <v>302</v>
      </c>
      <c r="K17" s="21">
        <f>IFERROR(J17/J$16*100,"-")</f>
        <v>78.036175710594307</v>
      </c>
    </row>
    <row r="18" spans="1:11" s="17" customFormat="1" ht="17.25" customHeight="1">
      <c r="A18" s="114" t="s">
        <v>244</v>
      </c>
      <c r="B18" s="28">
        <v>239</v>
      </c>
      <c r="C18" s="22">
        <f t="shared" ref="C18:E25" si="28">IFERROR(B18/B$16*100,"-")</f>
        <v>28.622754491017965</v>
      </c>
      <c r="D18" s="28">
        <v>207</v>
      </c>
      <c r="E18" s="22">
        <f t="shared" si="28"/>
        <v>30.666666666666664</v>
      </c>
      <c r="F18" s="117">
        <v>136</v>
      </c>
      <c r="G18" s="22">
        <f t="shared" ref="G18" si="29">IFERROR(F18/F$16*100,"-")</f>
        <v>21.316614420062695</v>
      </c>
      <c r="H18" s="28">
        <v>102</v>
      </c>
      <c r="I18" s="22">
        <f t="shared" ref="I18" si="30">IFERROR(H18/H$16*100,"-")</f>
        <v>18.75</v>
      </c>
      <c r="J18" s="28">
        <v>85</v>
      </c>
      <c r="K18" s="22">
        <f t="shared" ref="K18" si="31">IFERROR(J18/J$16*100,"-")</f>
        <v>21.963824289405682</v>
      </c>
    </row>
    <row r="19" spans="1:11" ht="20.100000000000001" customHeight="1">
      <c r="A19" s="46" t="s">
        <v>310</v>
      </c>
      <c r="B19" s="27" t="s">
        <v>84</v>
      </c>
      <c r="C19" s="21" t="str">
        <f t="shared" si="28"/>
        <v>-</v>
      </c>
      <c r="D19" s="27" t="s">
        <v>250</v>
      </c>
      <c r="E19" s="21" t="str">
        <f t="shared" si="28"/>
        <v>-</v>
      </c>
      <c r="F19" s="27" t="s">
        <v>84</v>
      </c>
      <c r="G19" s="21" t="str">
        <f t="shared" ref="G19" si="32">IFERROR(F19/F$16*100,"-")</f>
        <v>-</v>
      </c>
      <c r="H19" s="27" t="s">
        <v>138</v>
      </c>
      <c r="I19" s="21" t="str">
        <f t="shared" ref="I19" si="33">IFERROR(H19/H$16*100,"-")</f>
        <v>-</v>
      </c>
      <c r="J19" s="27" t="s">
        <v>138</v>
      </c>
      <c r="K19" s="21" t="str">
        <f t="shared" ref="K19" si="34">IFERROR(J19/J$16*100,"-")</f>
        <v>-</v>
      </c>
    </row>
    <row r="20" spans="1:11" ht="20.100000000000001" customHeight="1">
      <c r="A20" s="46" t="s">
        <v>303</v>
      </c>
      <c r="B20" s="27">
        <v>7</v>
      </c>
      <c r="C20" s="21">
        <f t="shared" si="28"/>
        <v>0.83832335329341312</v>
      </c>
      <c r="D20" s="27">
        <v>15</v>
      </c>
      <c r="E20" s="21">
        <f t="shared" si="28"/>
        <v>2.2222222222222223</v>
      </c>
      <c r="F20" s="27">
        <v>7</v>
      </c>
      <c r="G20" s="21">
        <f t="shared" ref="G20" si="35">IFERROR(F20/F$16*100,"-")</f>
        <v>1.0971786833855799</v>
      </c>
      <c r="H20" s="27">
        <v>2</v>
      </c>
      <c r="I20" s="21">
        <f t="shared" ref="I20" si="36">IFERROR(H20/H$16*100,"-")</f>
        <v>0.36764705882352938</v>
      </c>
      <c r="J20" s="27">
        <v>1</v>
      </c>
      <c r="K20" s="21">
        <f t="shared" ref="K20" si="37">IFERROR(J20/J$16*100,"-")</f>
        <v>0.2583979328165375</v>
      </c>
    </row>
    <row r="21" spans="1:11" ht="20.100000000000001" customHeight="1">
      <c r="A21" s="46" t="s">
        <v>304</v>
      </c>
      <c r="B21" s="27">
        <v>55</v>
      </c>
      <c r="C21" s="21">
        <f t="shared" si="28"/>
        <v>6.5868263473053901</v>
      </c>
      <c r="D21" s="27">
        <v>42</v>
      </c>
      <c r="E21" s="21">
        <f t="shared" si="28"/>
        <v>6.2222222222222223</v>
      </c>
      <c r="F21" s="27">
        <v>27</v>
      </c>
      <c r="G21" s="21">
        <f t="shared" ref="G21" si="38">IFERROR(F21/F$16*100,"-")</f>
        <v>4.2319749216300941</v>
      </c>
      <c r="H21" s="27">
        <v>13</v>
      </c>
      <c r="I21" s="21">
        <f t="shared" ref="I21" si="39">IFERROR(H21/H$16*100,"-")</f>
        <v>2.3897058823529411</v>
      </c>
      <c r="J21" s="27">
        <v>13</v>
      </c>
      <c r="K21" s="21">
        <f t="shared" ref="K21" si="40">IFERROR(J21/J$16*100,"-")</f>
        <v>3.3591731266149871</v>
      </c>
    </row>
    <row r="22" spans="1:11" ht="20.100000000000001" customHeight="1">
      <c r="A22" s="46" t="s">
        <v>311</v>
      </c>
      <c r="B22" s="27">
        <v>119</v>
      </c>
      <c r="C22" s="21">
        <f t="shared" si="28"/>
        <v>14.251497005988023</v>
      </c>
      <c r="D22" s="27">
        <v>81</v>
      </c>
      <c r="E22" s="21">
        <f t="shared" si="28"/>
        <v>12</v>
      </c>
      <c r="F22" s="27">
        <v>84</v>
      </c>
      <c r="G22" s="21">
        <f t="shared" ref="G22" si="41">IFERROR(F22/F$16*100,"-")</f>
        <v>13.166144200626958</v>
      </c>
      <c r="H22" s="27">
        <v>47</v>
      </c>
      <c r="I22" s="21">
        <f t="shared" ref="I22" si="42">IFERROR(H22/H$16*100,"-")</f>
        <v>8.6397058823529402</v>
      </c>
      <c r="J22" s="27">
        <v>45</v>
      </c>
      <c r="K22" s="21">
        <f t="shared" ref="K22" si="43">IFERROR(J22/J$16*100,"-")</f>
        <v>11.627906976744185</v>
      </c>
    </row>
    <row r="23" spans="1:11" ht="20.100000000000001" customHeight="1">
      <c r="A23" s="46" t="s">
        <v>306</v>
      </c>
      <c r="B23" s="27">
        <v>112</v>
      </c>
      <c r="C23" s="21">
        <f t="shared" si="28"/>
        <v>13.41317365269461</v>
      </c>
      <c r="D23" s="27">
        <v>115</v>
      </c>
      <c r="E23" s="21">
        <f t="shared" si="28"/>
        <v>17.037037037037038</v>
      </c>
      <c r="F23" s="27">
        <v>94</v>
      </c>
      <c r="G23" s="21">
        <f t="shared" ref="G23" si="44">IFERROR(F23/F$16*100,"-")</f>
        <v>14.733542319749215</v>
      </c>
      <c r="H23" s="27">
        <v>111</v>
      </c>
      <c r="I23" s="21">
        <f t="shared" ref="I23" si="45">IFERROR(H23/H$16*100,"-")</f>
        <v>20.40441176470588</v>
      </c>
      <c r="J23" s="27">
        <v>61</v>
      </c>
      <c r="K23" s="21">
        <f t="shared" ref="K23" si="46">IFERROR(J23/J$16*100,"-")</f>
        <v>15.762273901808785</v>
      </c>
    </row>
    <row r="24" spans="1:11" ht="20.100000000000001" customHeight="1">
      <c r="A24" s="46" t="s">
        <v>312</v>
      </c>
      <c r="B24" s="27">
        <v>217</v>
      </c>
      <c r="C24" s="21">
        <f t="shared" si="28"/>
        <v>25.988023952095809</v>
      </c>
      <c r="D24" s="27">
        <v>173</v>
      </c>
      <c r="E24" s="21">
        <f t="shared" si="28"/>
        <v>25.62962962962963</v>
      </c>
      <c r="F24" s="27">
        <v>175</v>
      </c>
      <c r="G24" s="21">
        <f t="shared" ref="G24" si="47">IFERROR(F24/F$16*100,"-")</f>
        <v>27.429467084639498</v>
      </c>
      <c r="H24" s="27">
        <v>145</v>
      </c>
      <c r="I24" s="21">
        <f t="shared" ref="I24" si="48">IFERROR(H24/H$16*100,"-")</f>
        <v>26.65441176470588</v>
      </c>
      <c r="J24" s="27">
        <v>114</v>
      </c>
      <c r="K24" s="21">
        <f t="shared" ref="K24" si="49">IFERROR(J24/J$16*100,"-")</f>
        <v>29.457364341085274</v>
      </c>
    </row>
    <row r="25" spans="1:11" ht="20.100000000000001" customHeight="1">
      <c r="A25" s="113" t="s">
        <v>308</v>
      </c>
      <c r="B25" s="28">
        <v>325</v>
      </c>
      <c r="C25" s="22">
        <f t="shared" si="28"/>
        <v>38.922155688622759</v>
      </c>
      <c r="D25" s="28">
        <v>249</v>
      </c>
      <c r="E25" s="22">
        <f t="shared" si="28"/>
        <v>36.888888888888886</v>
      </c>
      <c r="F25" s="28">
        <v>251</v>
      </c>
      <c r="G25" s="22">
        <f t="shared" ref="G25" si="50">IFERROR(F25/F$16*100,"-")</f>
        <v>39.341692789968654</v>
      </c>
      <c r="H25" s="28">
        <v>226</v>
      </c>
      <c r="I25" s="22">
        <f t="shared" ref="I25" si="51">IFERROR(H25/H$16*100,"-")</f>
        <v>41.544117647058826</v>
      </c>
      <c r="J25" s="28">
        <v>153</v>
      </c>
      <c r="K25" s="22">
        <f t="shared" ref="K25" si="52">IFERROR(J25/J$16*100,"-")</f>
        <v>39.534883720930232</v>
      </c>
    </row>
    <row r="26" spans="1:11" ht="15.75">
      <c r="A26" s="400" t="s">
        <v>404</v>
      </c>
      <c r="B26" s="375"/>
      <c r="C26" s="375"/>
      <c r="D26" s="375"/>
      <c r="E26" s="375"/>
    </row>
    <row r="27" spans="1:11" ht="15.75">
      <c r="A27" s="383" t="s">
        <v>655</v>
      </c>
      <c r="B27" s="383"/>
      <c r="C27" s="383"/>
      <c r="D27" s="383"/>
      <c r="E27" s="383"/>
      <c r="F27" s="383"/>
      <c r="G27" s="383"/>
      <c r="H27" s="383"/>
      <c r="I27" s="383"/>
      <c r="J27" s="383"/>
      <c r="K27" s="383"/>
    </row>
    <row r="28" spans="1:11" ht="28.5" customHeight="1">
      <c r="A28" s="383"/>
      <c r="B28" s="383"/>
      <c r="C28" s="383"/>
      <c r="D28" s="383"/>
      <c r="E28" s="383"/>
      <c r="F28" s="383"/>
      <c r="G28" s="383"/>
      <c r="H28" s="383"/>
      <c r="I28" s="383"/>
      <c r="J28" s="383"/>
      <c r="K28" s="383"/>
    </row>
  </sheetData>
  <mergeCells count="13">
    <mergeCell ref="A27:K28"/>
    <mergeCell ref="B14:C14"/>
    <mergeCell ref="D14:E14"/>
    <mergeCell ref="F14:G14"/>
    <mergeCell ref="H14:I14"/>
    <mergeCell ref="J14:K14"/>
    <mergeCell ref="A26:E26"/>
    <mergeCell ref="A1:K1"/>
    <mergeCell ref="B2:C2"/>
    <mergeCell ref="D2:E2"/>
    <mergeCell ref="F2:G2"/>
    <mergeCell ref="H2:I2"/>
    <mergeCell ref="J2:K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4"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6"/>
  <sheetViews>
    <sheetView showGridLines="0" showRuler="0" zoomScaleNormal="100" zoomScalePageLayoutView="125" workbookViewId="0">
      <pane xSplit="1" ySplit="3" topLeftCell="B4" activePane="bottomRight" state="frozen"/>
      <selection activeCell="F17" sqref="F17"/>
      <selection pane="topRight" activeCell="F17" sqref="F17"/>
      <selection pane="bottomLeft" activeCell="F17" sqref="F17"/>
      <selection pane="bottomRight" activeCell="J27" sqref="J27"/>
    </sheetView>
  </sheetViews>
  <sheetFormatPr defaultColWidth="9" defaultRowHeight="15.75"/>
  <cols>
    <col min="1" max="1" width="26.875" style="17" customWidth="1"/>
    <col min="2" max="11" width="8.625" style="17" customWidth="1"/>
    <col min="12" max="16384" width="9" style="17"/>
  </cols>
  <sheetData>
    <row r="1" spans="1:11" ht="25.5" customHeight="1">
      <c r="A1" s="297" t="s">
        <v>856</v>
      </c>
      <c r="B1" s="297"/>
      <c r="C1" s="297"/>
      <c r="D1" s="297"/>
      <c r="E1" s="297"/>
      <c r="F1" s="297"/>
      <c r="G1" s="297"/>
      <c r="H1" s="297"/>
      <c r="I1" s="297"/>
      <c r="J1" s="297"/>
      <c r="K1" s="297"/>
    </row>
    <row r="2" spans="1:11" ht="20.100000000000001" customHeight="1">
      <c r="A2" s="18"/>
      <c r="B2" s="379" t="s">
        <v>656</v>
      </c>
      <c r="C2" s="302"/>
      <c r="D2" s="379" t="s">
        <v>612</v>
      </c>
      <c r="E2" s="302"/>
      <c r="F2" s="379" t="s">
        <v>613</v>
      </c>
      <c r="G2" s="302"/>
      <c r="H2" s="379" t="s">
        <v>614</v>
      </c>
      <c r="I2" s="302"/>
      <c r="J2" s="379" t="s">
        <v>615</v>
      </c>
      <c r="K2" s="302"/>
    </row>
    <row r="3" spans="1:11" s="36" customFormat="1" ht="20.100000000000001" customHeight="1">
      <c r="B3" s="115" t="s">
        <v>240</v>
      </c>
      <c r="C3" s="115" t="s">
        <v>144</v>
      </c>
      <c r="D3" s="115" t="s">
        <v>240</v>
      </c>
      <c r="E3" s="115" t="s">
        <v>241</v>
      </c>
      <c r="F3" s="115" t="s">
        <v>240</v>
      </c>
      <c r="G3" s="115" t="s">
        <v>241</v>
      </c>
      <c r="H3" s="115" t="s">
        <v>240</v>
      </c>
      <c r="I3" s="115" t="s">
        <v>241</v>
      </c>
      <c r="J3" s="115" t="s">
        <v>240</v>
      </c>
      <c r="K3" s="115" t="s">
        <v>5</v>
      </c>
    </row>
    <row r="4" spans="1:11" ht="18.600000000000001" customHeight="1">
      <c r="A4" s="46" t="s">
        <v>153</v>
      </c>
      <c r="B4" s="126">
        <v>2507</v>
      </c>
      <c r="C4" s="65">
        <f>SUM(C5:C12)</f>
        <v>100</v>
      </c>
      <c r="D4" s="126">
        <v>3302</v>
      </c>
      <c r="E4" s="65">
        <f>SUM(E5:E12)</f>
        <v>99.999999999999986</v>
      </c>
      <c r="F4" s="126">
        <v>2105</v>
      </c>
      <c r="G4" s="65">
        <f>SUM(G5:G12)</f>
        <v>100</v>
      </c>
      <c r="H4" s="126">
        <v>2076</v>
      </c>
      <c r="I4" s="65">
        <f>SUM(I5:I12)</f>
        <v>100</v>
      </c>
      <c r="J4" s="126">
        <v>1386</v>
      </c>
      <c r="K4" s="65">
        <f>SUM(K5:K12)</f>
        <v>100</v>
      </c>
    </row>
    <row r="5" spans="1:11" ht="18.600000000000001" customHeight="1">
      <c r="A5" s="46" t="s">
        <v>317</v>
      </c>
      <c r="B5" s="127">
        <v>1239</v>
      </c>
      <c r="C5" s="66">
        <f>IFERROR(B5/B$4*100,"-")</f>
        <v>49.421619465496605</v>
      </c>
      <c r="D5" s="127">
        <v>1857</v>
      </c>
      <c r="E5" s="66">
        <f>IFERROR(D5/D$4*100,"-")</f>
        <v>56.238643246517263</v>
      </c>
      <c r="F5" s="127">
        <v>1131</v>
      </c>
      <c r="G5" s="66">
        <f>IFERROR(F5/F$4*100,"-")</f>
        <v>53.729216152018999</v>
      </c>
      <c r="H5" s="127">
        <v>1211</v>
      </c>
      <c r="I5" s="66">
        <f>IFERROR(H5/H$4*100,"-")</f>
        <v>58.333333333333336</v>
      </c>
      <c r="J5" s="127">
        <v>805</v>
      </c>
      <c r="K5" s="66">
        <f>IFERROR(J5/J$4*100,"-")</f>
        <v>58.080808080808076</v>
      </c>
    </row>
    <row r="6" spans="1:11" ht="18.600000000000001" customHeight="1">
      <c r="A6" s="46" t="s">
        <v>315</v>
      </c>
      <c r="B6" s="127">
        <v>847</v>
      </c>
      <c r="C6" s="66">
        <f t="shared" ref="C6:E12" si="0">IFERROR(B6/B$4*100,"-")</f>
        <v>33.785400877542884</v>
      </c>
      <c r="D6" s="127">
        <v>903</v>
      </c>
      <c r="E6" s="66">
        <f t="shared" si="0"/>
        <v>27.347062386432462</v>
      </c>
      <c r="F6" s="127">
        <v>638</v>
      </c>
      <c r="G6" s="66">
        <f t="shared" ref="G6" si="1">IFERROR(F6/F$4*100,"-")</f>
        <v>30.308788598574822</v>
      </c>
      <c r="H6" s="127">
        <v>582</v>
      </c>
      <c r="I6" s="66">
        <f t="shared" ref="I6" si="2">IFERROR(H6/H$4*100,"-")</f>
        <v>28.034682080924856</v>
      </c>
      <c r="J6" s="127">
        <v>417</v>
      </c>
      <c r="K6" s="66">
        <f t="shared" ref="K6" si="3">IFERROR(J6/J$4*100,"-")</f>
        <v>30.086580086580089</v>
      </c>
    </row>
    <row r="7" spans="1:11" ht="18.600000000000001" customHeight="1">
      <c r="A7" s="46" t="s">
        <v>154</v>
      </c>
      <c r="B7" s="127">
        <v>377</v>
      </c>
      <c r="C7" s="66">
        <f t="shared" si="0"/>
        <v>15.037893897088153</v>
      </c>
      <c r="D7" s="127">
        <v>502</v>
      </c>
      <c r="E7" s="66">
        <f t="shared" si="0"/>
        <v>15.20290732889158</v>
      </c>
      <c r="F7" s="127">
        <v>306</v>
      </c>
      <c r="G7" s="66">
        <f t="shared" ref="G7" si="4">IFERROR(F7/F$4*100,"-")</f>
        <v>14.536817102137768</v>
      </c>
      <c r="H7" s="127">
        <v>263</v>
      </c>
      <c r="I7" s="66">
        <f t="shared" ref="I7" si="5">IFERROR(H7/H$4*100,"-")</f>
        <v>12.668593448940268</v>
      </c>
      <c r="J7" s="127">
        <v>138</v>
      </c>
      <c r="K7" s="66">
        <f t="shared" ref="K7" si="6">IFERROR(J7/J$4*100,"-")</f>
        <v>9.9567099567099575</v>
      </c>
    </row>
    <row r="8" spans="1:11" ht="18.600000000000001" customHeight="1">
      <c r="A8" s="46" t="s">
        <v>318</v>
      </c>
      <c r="B8" s="127">
        <v>4</v>
      </c>
      <c r="C8" s="66">
        <f t="shared" si="0"/>
        <v>0.15955325089748704</v>
      </c>
      <c r="D8" s="127">
        <v>7</v>
      </c>
      <c r="E8" s="66">
        <f t="shared" si="0"/>
        <v>0.21199273167777105</v>
      </c>
      <c r="F8" s="127">
        <v>3</v>
      </c>
      <c r="G8" s="66">
        <f t="shared" ref="G8" si="7">IFERROR(F8/F$4*100,"-")</f>
        <v>0.14251781472684086</v>
      </c>
      <c r="H8" s="127">
        <v>4</v>
      </c>
      <c r="I8" s="66">
        <f t="shared" ref="I8" si="8">IFERROR(H8/H$4*100,"-")</f>
        <v>0.19267822736030829</v>
      </c>
      <c r="J8" s="127">
        <v>2</v>
      </c>
      <c r="K8" s="66">
        <f t="shared" ref="K8" si="9">IFERROR(J8/J$4*100,"-")</f>
        <v>0.14430014430014429</v>
      </c>
    </row>
    <row r="9" spans="1:11" ht="18.600000000000001" customHeight="1">
      <c r="A9" s="46" t="s">
        <v>313</v>
      </c>
      <c r="B9" s="127">
        <v>3</v>
      </c>
      <c r="C9" s="66">
        <f t="shared" si="0"/>
        <v>0.11966493817311527</v>
      </c>
      <c r="D9" s="127">
        <v>2</v>
      </c>
      <c r="E9" s="66">
        <f t="shared" si="0"/>
        <v>6.0569351907934582E-2</v>
      </c>
      <c r="F9" s="127">
        <v>6</v>
      </c>
      <c r="G9" s="66">
        <f t="shared" ref="G9" si="10">IFERROR(F9/F$4*100,"-")</f>
        <v>0.28503562945368172</v>
      </c>
      <c r="H9" s="127">
        <v>2</v>
      </c>
      <c r="I9" s="66">
        <f t="shared" ref="I9" si="11">IFERROR(H9/H$4*100,"-")</f>
        <v>9.6339113680154145E-2</v>
      </c>
      <c r="J9" s="127" t="s">
        <v>250</v>
      </c>
      <c r="K9" s="274" t="str">
        <f t="shared" ref="K9" si="12">IFERROR(J9/J$4*100,"-")</f>
        <v>-</v>
      </c>
    </row>
    <row r="10" spans="1:11" ht="18.600000000000001" customHeight="1">
      <c r="A10" s="46" t="s">
        <v>316</v>
      </c>
      <c r="B10" s="127">
        <v>31</v>
      </c>
      <c r="C10" s="66">
        <f t="shared" si="0"/>
        <v>1.2365376944555246</v>
      </c>
      <c r="D10" s="127">
        <v>24</v>
      </c>
      <c r="E10" s="66">
        <f t="shared" si="0"/>
        <v>0.7268322228952151</v>
      </c>
      <c r="F10" s="127">
        <v>13</v>
      </c>
      <c r="G10" s="66">
        <f t="shared" ref="G10" si="13">IFERROR(F10/F$4*100,"-")</f>
        <v>0.61757719714964376</v>
      </c>
      <c r="H10" s="127">
        <v>10</v>
      </c>
      <c r="I10" s="66">
        <f t="shared" ref="I10" si="14">IFERROR(H10/H$4*100,"-")</f>
        <v>0.48169556840077066</v>
      </c>
      <c r="J10" s="127">
        <v>19</v>
      </c>
      <c r="K10" s="66">
        <f t="shared" ref="K10" si="15">IFERROR(J10/J$4*100,"-")</f>
        <v>1.3708513708513708</v>
      </c>
    </row>
    <row r="11" spans="1:11" ht="18.600000000000001" customHeight="1">
      <c r="A11" s="46" t="s">
        <v>314</v>
      </c>
      <c r="B11" s="127">
        <v>6</v>
      </c>
      <c r="C11" s="66">
        <f t="shared" si="0"/>
        <v>0.23932987634623054</v>
      </c>
      <c r="D11" s="127">
        <v>7</v>
      </c>
      <c r="E11" s="66">
        <f t="shared" si="0"/>
        <v>0.21199273167777105</v>
      </c>
      <c r="F11" s="127">
        <v>8</v>
      </c>
      <c r="G11" s="66">
        <f t="shared" ref="G11" si="16">IFERROR(F11/F$4*100,"-")</f>
        <v>0.38004750593824227</v>
      </c>
      <c r="H11" s="127">
        <v>4</v>
      </c>
      <c r="I11" s="66">
        <f t="shared" ref="I11" si="17">IFERROR(H11/H$4*100,"-")</f>
        <v>0.19267822736030829</v>
      </c>
      <c r="J11" s="127">
        <v>5</v>
      </c>
      <c r="K11" s="66">
        <f t="shared" ref="K11" si="18">IFERROR(J11/J$4*100,"-")</f>
        <v>0.36075036075036077</v>
      </c>
    </row>
    <row r="12" spans="1:11" ht="18.600000000000001" customHeight="1" thickBot="1">
      <c r="A12" s="180" t="s">
        <v>319</v>
      </c>
      <c r="B12" s="272" t="s">
        <v>429</v>
      </c>
      <c r="C12" s="273" t="str">
        <f t="shared" si="0"/>
        <v>-</v>
      </c>
      <c r="D12" s="272" t="s">
        <v>19</v>
      </c>
      <c r="E12" s="273" t="str">
        <f t="shared" si="0"/>
        <v>-</v>
      </c>
      <c r="F12" s="272" t="s">
        <v>19</v>
      </c>
      <c r="G12" s="273" t="str">
        <f t="shared" ref="G12" si="19">IFERROR(F12/F$4*100,"-")</f>
        <v>-</v>
      </c>
      <c r="H12" s="272" t="s">
        <v>19</v>
      </c>
      <c r="I12" s="273" t="str">
        <f t="shared" ref="I12" si="20">IFERROR(H12/H$4*100,"-")</f>
        <v>-</v>
      </c>
      <c r="J12" s="272" t="s">
        <v>19</v>
      </c>
      <c r="K12" s="273" t="str">
        <f t="shared" ref="K12" si="21">IFERROR(J12/J$4*100,"-")</f>
        <v>-</v>
      </c>
    </row>
    <row r="13" spans="1:11" ht="20.100000000000001" customHeight="1">
      <c r="A13" s="36"/>
      <c r="B13" s="381" t="s">
        <v>616</v>
      </c>
      <c r="C13" s="343"/>
      <c r="D13" s="381" t="s">
        <v>617</v>
      </c>
      <c r="E13" s="343"/>
      <c r="F13" s="381" t="s">
        <v>618</v>
      </c>
      <c r="G13" s="343"/>
      <c r="H13" s="381" t="s">
        <v>619</v>
      </c>
      <c r="I13" s="343"/>
      <c r="J13" s="381" t="s">
        <v>620</v>
      </c>
      <c r="K13" s="343"/>
    </row>
    <row r="14" spans="1:11" s="36" customFormat="1" ht="20.100000000000001" customHeight="1">
      <c r="B14" s="115" t="s">
        <v>143</v>
      </c>
      <c r="C14" s="115" t="s">
        <v>5</v>
      </c>
      <c r="D14" s="115" t="s">
        <v>143</v>
      </c>
      <c r="E14" s="115" t="s">
        <v>122</v>
      </c>
      <c r="F14" s="115" t="s">
        <v>143</v>
      </c>
      <c r="G14" s="115" t="s">
        <v>122</v>
      </c>
      <c r="H14" s="115" t="s">
        <v>143</v>
      </c>
      <c r="I14" s="115" t="s">
        <v>122</v>
      </c>
      <c r="J14" s="115" t="s">
        <v>143</v>
      </c>
      <c r="K14" s="115" t="s">
        <v>5</v>
      </c>
    </row>
    <row r="15" spans="1:11" ht="18.600000000000001" customHeight="1">
      <c r="A15" s="46" t="s">
        <v>153</v>
      </c>
      <c r="B15" s="126">
        <v>835</v>
      </c>
      <c r="C15" s="65">
        <f>SUM(C16:C23)</f>
        <v>100</v>
      </c>
      <c r="D15" s="126">
        <v>675</v>
      </c>
      <c r="E15" s="65">
        <f>SUM(E16:E23)</f>
        <v>100.00000000000001</v>
      </c>
      <c r="F15" s="126">
        <v>638</v>
      </c>
      <c r="G15" s="65">
        <f>SUM(G16:G23)</f>
        <v>100.00000000000001</v>
      </c>
      <c r="H15" s="126">
        <f>SUM(H16:H23)</f>
        <v>544</v>
      </c>
      <c r="I15" s="65">
        <f>SUM(I16:I23)</f>
        <v>100.00000000000003</v>
      </c>
      <c r="J15" s="126">
        <f>SUM(J16:J23)</f>
        <v>387</v>
      </c>
      <c r="K15" s="65">
        <f>SUM(K16:K23)</f>
        <v>99.999999999999986</v>
      </c>
    </row>
    <row r="16" spans="1:11" ht="18.600000000000001" customHeight="1">
      <c r="A16" s="46" t="s">
        <v>317</v>
      </c>
      <c r="B16" s="127">
        <v>488</v>
      </c>
      <c r="C16" s="66">
        <f>IFERROR(B16/B$15*100,"-")</f>
        <v>58.443113772455092</v>
      </c>
      <c r="D16" s="127">
        <v>340</v>
      </c>
      <c r="E16" s="66">
        <f>IFERROR(D16/D$15*100,"-")</f>
        <v>50.370370370370367</v>
      </c>
      <c r="F16" s="127">
        <v>351</v>
      </c>
      <c r="G16" s="66">
        <f>IFERROR(F16/F$15*100,"-")</f>
        <v>55.015673981191227</v>
      </c>
      <c r="H16" s="127">
        <v>332</v>
      </c>
      <c r="I16" s="66">
        <f>IFERROR(H16/H$15*100,"-")</f>
        <v>61.029411764705884</v>
      </c>
      <c r="J16" s="127">
        <v>237</v>
      </c>
      <c r="K16" s="66">
        <f>IFERROR(J16/J$15*100,"-")</f>
        <v>61.240310077519375</v>
      </c>
    </row>
    <row r="17" spans="1:11" ht="18.600000000000001" customHeight="1">
      <c r="A17" s="46" t="s">
        <v>150</v>
      </c>
      <c r="B17" s="127">
        <v>255</v>
      </c>
      <c r="C17" s="66">
        <f t="shared" ref="C17:E23" si="22">IFERROR(B17/B$15*100,"-")</f>
        <v>30.538922155688624</v>
      </c>
      <c r="D17" s="127">
        <v>234</v>
      </c>
      <c r="E17" s="66">
        <f t="shared" si="22"/>
        <v>34.666666666666671</v>
      </c>
      <c r="F17" s="127">
        <v>204</v>
      </c>
      <c r="G17" s="66">
        <f t="shared" ref="G17" si="23">IFERROR(F17/F$15*100,"-")</f>
        <v>31.974921630094045</v>
      </c>
      <c r="H17" s="127">
        <v>155</v>
      </c>
      <c r="I17" s="66">
        <f t="shared" ref="I17" si="24">IFERROR(H17/H$15*100,"-")</f>
        <v>28.492647058823529</v>
      </c>
      <c r="J17" s="127">
        <v>108</v>
      </c>
      <c r="K17" s="66">
        <f t="shared" ref="K17" si="25">IFERROR(J17/J$15*100,"-")</f>
        <v>27.906976744186046</v>
      </c>
    </row>
    <row r="18" spans="1:11" ht="18.600000000000001" customHeight="1">
      <c r="A18" s="46" t="s">
        <v>149</v>
      </c>
      <c r="B18" s="127">
        <v>78</v>
      </c>
      <c r="C18" s="66">
        <f t="shared" si="22"/>
        <v>9.341317365269461</v>
      </c>
      <c r="D18" s="127">
        <v>87</v>
      </c>
      <c r="E18" s="66">
        <f t="shared" si="22"/>
        <v>12.888888888888889</v>
      </c>
      <c r="F18" s="127">
        <v>76</v>
      </c>
      <c r="G18" s="66">
        <f t="shared" ref="G18" si="26">IFERROR(F18/F$15*100,"-")</f>
        <v>11.912225705329153</v>
      </c>
      <c r="H18" s="127">
        <v>48</v>
      </c>
      <c r="I18" s="66">
        <f t="shared" ref="I18" si="27">IFERROR(H18/H$15*100,"-")</f>
        <v>8.8235294117647065</v>
      </c>
      <c r="J18" s="127">
        <v>38</v>
      </c>
      <c r="K18" s="66">
        <f t="shared" ref="K18" si="28">IFERROR(J18/J$15*100,"-")</f>
        <v>9.819121447028424</v>
      </c>
    </row>
    <row r="19" spans="1:11" ht="18.600000000000001" customHeight="1">
      <c r="A19" s="46" t="s">
        <v>151</v>
      </c>
      <c r="B19" s="127">
        <v>2</v>
      </c>
      <c r="C19" s="66">
        <f t="shared" si="22"/>
        <v>0.23952095808383234</v>
      </c>
      <c r="D19" s="127">
        <v>4</v>
      </c>
      <c r="E19" s="66">
        <f t="shared" si="22"/>
        <v>0.59259259259259256</v>
      </c>
      <c r="F19" s="127">
        <v>1</v>
      </c>
      <c r="G19" s="66">
        <f t="shared" ref="G19" si="29">IFERROR(F19/F$15*100,"-")</f>
        <v>0.15673981191222569</v>
      </c>
      <c r="H19" s="127">
        <v>2</v>
      </c>
      <c r="I19" s="66">
        <f t="shared" ref="I19" si="30">IFERROR(H19/H$15*100,"-")</f>
        <v>0.36764705882352938</v>
      </c>
      <c r="J19" s="127">
        <v>3</v>
      </c>
      <c r="K19" s="66">
        <f t="shared" ref="K19" si="31">IFERROR(J19/J$15*100,"-")</f>
        <v>0.77519379844961245</v>
      </c>
    </row>
    <row r="20" spans="1:11" ht="18.600000000000001" customHeight="1">
      <c r="A20" s="46" t="s">
        <v>147</v>
      </c>
      <c r="B20" s="127">
        <v>3</v>
      </c>
      <c r="C20" s="66">
        <f t="shared" si="22"/>
        <v>0.3592814371257485</v>
      </c>
      <c r="D20" s="127">
        <v>1</v>
      </c>
      <c r="E20" s="66">
        <f t="shared" si="22"/>
        <v>0.14814814814814814</v>
      </c>
      <c r="F20" s="127">
        <v>1</v>
      </c>
      <c r="G20" s="66">
        <f t="shared" ref="G20" si="32">IFERROR(F20/F$15*100,"-")</f>
        <v>0.15673981191222569</v>
      </c>
      <c r="H20" s="127">
        <v>4</v>
      </c>
      <c r="I20" s="66">
        <f t="shared" ref="I20" si="33">IFERROR(H20/H$15*100,"-")</f>
        <v>0.73529411764705876</v>
      </c>
      <c r="J20" s="127">
        <v>1</v>
      </c>
      <c r="K20" s="66">
        <f t="shared" ref="K20" si="34">IFERROR(J20/J$15*100,"-")</f>
        <v>0.2583979328165375</v>
      </c>
    </row>
    <row r="21" spans="1:11" ht="18.600000000000001" customHeight="1">
      <c r="A21" s="46" t="s">
        <v>316</v>
      </c>
      <c r="B21" s="127">
        <v>3</v>
      </c>
      <c r="C21" s="66">
        <f t="shared" si="22"/>
        <v>0.3592814371257485</v>
      </c>
      <c r="D21" s="127">
        <v>5</v>
      </c>
      <c r="E21" s="66">
        <f t="shared" si="22"/>
        <v>0.74074074074074081</v>
      </c>
      <c r="F21" s="127">
        <v>2</v>
      </c>
      <c r="G21" s="66">
        <f t="shared" ref="G21" si="35">IFERROR(F21/F$15*100,"-")</f>
        <v>0.31347962382445138</v>
      </c>
      <c r="H21" s="127">
        <v>2</v>
      </c>
      <c r="I21" s="66">
        <f t="shared" ref="I21" si="36">IFERROR(H21/H$15*100,"-")</f>
        <v>0.36764705882352938</v>
      </c>
      <c r="J21" s="127" t="s">
        <v>9</v>
      </c>
      <c r="K21" s="274" t="str">
        <f t="shared" ref="K21" si="37">IFERROR(J21/J$15*100,"-")</f>
        <v>-</v>
      </c>
    </row>
    <row r="22" spans="1:11" ht="18.600000000000001" customHeight="1">
      <c r="A22" s="46" t="s">
        <v>314</v>
      </c>
      <c r="B22" s="127">
        <v>6</v>
      </c>
      <c r="C22" s="66">
        <f t="shared" si="22"/>
        <v>0.71856287425149701</v>
      </c>
      <c r="D22" s="127">
        <v>4</v>
      </c>
      <c r="E22" s="66">
        <f t="shared" si="22"/>
        <v>0.59259259259259256</v>
      </c>
      <c r="F22" s="127">
        <v>2</v>
      </c>
      <c r="G22" s="66">
        <f t="shared" ref="G22" si="38">IFERROR(F22/F$15*100,"-")</f>
        <v>0.31347962382445138</v>
      </c>
      <c r="H22" s="127">
        <v>1</v>
      </c>
      <c r="I22" s="66">
        <f t="shared" ref="I22" si="39">IFERROR(H22/H$15*100,"-")</f>
        <v>0.18382352941176469</v>
      </c>
      <c r="J22" s="127" t="s">
        <v>19</v>
      </c>
      <c r="K22" s="274" t="str">
        <f t="shared" ref="K22" si="40">IFERROR(J22/J$15*100,"-")</f>
        <v>-</v>
      </c>
    </row>
    <row r="23" spans="1:11" ht="18.600000000000001" customHeight="1">
      <c r="A23" s="113" t="s">
        <v>152</v>
      </c>
      <c r="B23" s="128" t="s">
        <v>19</v>
      </c>
      <c r="C23" s="275" t="str">
        <f t="shared" si="22"/>
        <v>-</v>
      </c>
      <c r="D23" s="128" t="s">
        <v>868</v>
      </c>
      <c r="E23" s="275" t="str">
        <f t="shared" si="22"/>
        <v>-</v>
      </c>
      <c r="F23" s="128">
        <v>1</v>
      </c>
      <c r="G23" s="67">
        <f t="shared" ref="G23" si="41">IFERROR(F23/F$15*100,"-")</f>
        <v>0.15673981191222569</v>
      </c>
      <c r="H23" s="128" t="s">
        <v>83</v>
      </c>
      <c r="I23" s="275" t="str">
        <f t="shared" ref="I23" si="42">IFERROR(H23/H$15*100,"-")</f>
        <v>-</v>
      </c>
      <c r="J23" s="128" t="s">
        <v>869</v>
      </c>
      <c r="K23" s="275" t="str">
        <f t="shared" ref="K23" si="43">IFERROR(J23/J$15*100,"-")</f>
        <v>-</v>
      </c>
    </row>
    <row r="24" spans="1:11">
      <c r="A24" s="401" t="s">
        <v>430</v>
      </c>
      <c r="B24" s="339"/>
      <c r="C24" s="339"/>
      <c r="D24" s="14"/>
      <c r="E24" s="14"/>
      <c r="F24" s="14"/>
      <c r="G24" s="14"/>
      <c r="H24" s="75"/>
      <c r="I24" s="60"/>
      <c r="J24" s="126"/>
      <c r="K24" s="59"/>
    </row>
    <row r="25" spans="1:11" ht="42" customHeight="1">
      <c r="A25" s="383" t="s">
        <v>657</v>
      </c>
      <c r="B25" s="383"/>
      <c r="C25" s="383"/>
      <c r="D25" s="383"/>
      <c r="E25" s="383"/>
      <c r="F25" s="383"/>
      <c r="G25" s="383"/>
      <c r="H25" s="383"/>
      <c r="I25" s="383"/>
      <c r="J25" s="383"/>
      <c r="K25" s="383"/>
    </row>
    <row r="26" spans="1:11">
      <c r="A26" s="374"/>
      <c r="B26" s="374"/>
      <c r="C26" s="374"/>
      <c r="D26" s="374"/>
      <c r="E26" s="374"/>
    </row>
  </sheetData>
  <mergeCells count="14">
    <mergeCell ref="A26:E26"/>
    <mergeCell ref="B13:C13"/>
    <mergeCell ref="D13:E13"/>
    <mergeCell ref="F13:G13"/>
    <mergeCell ref="A25:K25"/>
    <mergeCell ref="H13:I13"/>
    <mergeCell ref="J13:K13"/>
    <mergeCell ref="A24:C24"/>
    <mergeCell ref="A1:K1"/>
    <mergeCell ref="B2:C2"/>
    <mergeCell ref="D2:E2"/>
    <mergeCell ref="F2:G2"/>
    <mergeCell ref="H2:I2"/>
    <mergeCell ref="J2:K2"/>
  </mergeCells>
  <phoneticPr fontId="6" type="noConversion"/>
  <printOptions horizontalCentered="1" verticalCentered="1"/>
  <pageMargins left="0.74803149606299213" right="0.74803149606299213" top="0.74803149606299213" bottom="0.74803149606299213" header="0.51181102362204722" footer="0.51181102362204722"/>
  <pageSetup paperSize="11" scale="66"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22"/>
  <sheetViews>
    <sheetView showGridLines="0" showRuler="0" zoomScale="70" zoomScaleNormal="70" zoomScalePageLayoutView="125" workbookViewId="0">
      <pane xSplit="1" ySplit="4" topLeftCell="B5" activePane="bottomRight" state="frozen"/>
      <selection activeCell="F17" sqref="F17"/>
      <selection pane="topRight" activeCell="F17" sqref="F17"/>
      <selection pane="bottomLeft" activeCell="F17" sqref="F17"/>
      <selection pane="bottomRight" activeCell="F17" sqref="F17"/>
    </sheetView>
  </sheetViews>
  <sheetFormatPr defaultColWidth="9" defaultRowHeight="15.75"/>
  <cols>
    <col min="1" max="1" width="15.625" style="17" customWidth="1"/>
    <col min="2" max="21" width="7.625" style="17" customWidth="1"/>
    <col min="22" max="16384" width="9" style="17"/>
  </cols>
  <sheetData>
    <row r="1" spans="1:21" ht="28.5" customHeight="1">
      <c r="A1" s="297" t="s">
        <v>857</v>
      </c>
      <c r="B1" s="297"/>
      <c r="C1" s="297"/>
      <c r="D1" s="297"/>
      <c r="E1" s="297"/>
      <c r="F1" s="297"/>
      <c r="G1" s="297"/>
      <c r="H1" s="297"/>
      <c r="I1" s="297"/>
      <c r="J1" s="297"/>
      <c r="K1" s="297"/>
      <c r="L1" s="297"/>
      <c r="M1" s="297"/>
      <c r="N1" s="297"/>
      <c r="O1" s="297"/>
      <c r="P1" s="297"/>
      <c r="Q1" s="297"/>
      <c r="R1" s="297"/>
      <c r="S1" s="297"/>
      <c r="T1" s="297"/>
      <c r="U1" s="297"/>
    </row>
    <row r="2" spans="1:21" ht="20.100000000000001" customHeight="1">
      <c r="A2" s="378"/>
      <c r="B2" s="379" t="s">
        <v>658</v>
      </c>
      <c r="C2" s="302"/>
      <c r="D2" s="302"/>
      <c r="E2" s="302"/>
      <c r="F2" s="379" t="s">
        <v>612</v>
      </c>
      <c r="G2" s="302"/>
      <c r="H2" s="302"/>
      <c r="I2" s="302"/>
      <c r="J2" s="379" t="s">
        <v>613</v>
      </c>
      <c r="K2" s="302"/>
      <c r="L2" s="302"/>
      <c r="M2" s="302"/>
      <c r="N2" s="379" t="s">
        <v>614</v>
      </c>
      <c r="O2" s="302"/>
      <c r="P2" s="302"/>
      <c r="Q2" s="302"/>
      <c r="R2" s="379" t="s">
        <v>615</v>
      </c>
      <c r="S2" s="302"/>
      <c r="T2" s="302"/>
      <c r="U2" s="302"/>
    </row>
    <row r="3" spans="1:21" s="36" customFormat="1" ht="20.100000000000001" customHeight="1">
      <c r="A3" s="342"/>
      <c r="B3" s="302" t="s">
        <v>320</v>
      </c>
      <c r="C3" s="302"/>
      <c r="D3" s="302"/>
      <c r="E3" s="378" t="s">
        <v>321</v>
      </c>
      <c r="F3" s="302" t="s">
        <v>320</v>
      </c>
      <c r="G3" s="302"/>
      <c r="H3" s="302"/>
      <c r="I3" s="378" t="s">
        <v>321</v>
      </c>
      <c r="J3" s="302" t="s">
        <v>320</v>
      </c>
      <c r="K3" s="302"/>
      <c r="L3" s="302"/>
      <c r="M3" s="378" t="s">
        <v>322</v>
      </c>
      <c r="N3" s="302" t="s">
        <v>320</v>
      </c>
      <c r="O3" s="302"/>
      <c r="P3" s="302"/>
      <c r="Q3" s="378" t="s">
        <v>321</v>
      </c>
      <c r="R3" s="302" t="s">
        <v>320</v>
      </c>
      <c r="S3" s="302"/>
      <c r="T3" s="302"/>
      <c r="U3" s="378" t="s">
        <v>323</v>
      </c>
    </row>
    <row r="4" spans="1:21" s="36" customFormat="1" ht="20.100000000000001" customHeight="1">
      <c r="A4" s="342"/>
      <c r="B4" s="115" t="s">
        <v>300</v>
      </c>
      <c r="C4" s="226" t="s">
        <v>418</v>
      </c>
      <c r="D4" s="226" t="s">
        <v>431</v>
      </c>
      <c r="E4" s="343"/>
      <c r="F4" s="115" t="s">
        <v>300</v>
      </c>
      <c r="G4" s="226" t="s">
        <v>418</v>
      </c>
      <c r="H4" s="226" t="s">
        <v>431</v>
      </c>
      <c r="I4" s="343"/>
      <c r="J4" s="115" t="s">
        <v>300</v>
      </c>
      <c r="K4" s="226" t="s">
        <v>418</v>
      </c>
      <c r="L4" s="226" t="s">
        <v>431</v>
      </c>
      <c r="M4" s="343"/>
      <c r="N4" s="115" t="s">
        <v>324</v>
      </c>
      <c r="O4" s="226" t="s">
        <v>418</v>
      </c>
      <c r="P4" s="226" t="s">
        <v>431</v>
      </c>
      <c r="Q4" s="343"/>
      <c r="R4" s="115" t="s">
        <v>324</v>
      </c>
      <c r="S4" s="226" t="s">
        <v>418</v>
      </c>
      <c r="T4" s="226" t="s">
        <v>431</v>
      </c>
      <c r="U4" s="343"/>
    </row>
    <row r="5" spans="1:21" s="36" customFormat="1" ht="20.100000000000001" customHeight="1">
      <c r="A5" s="46" t="s">
        <v>300</v>
      </c>
      <c r="B5" s="52">
        <f t="shared" ref="B5" si="0">SUM(C5,D5)</f>
        <v>2507</v>
      </c>
      <c r="C5" s="52">
        <f>SUM(C6:C10)</f>
        <v>1914</v>
      </c>
      <c r="D5" s="52">
        <f>SUM(D6:D10)</f>
        <v>593</v>
      </c>
      <c r="E5" s="211">
        <f>SUM(E6:E10)</f>
        <v>100</v>
      </c>
      <c r="F5" s="212">
        <f t="shared" ref="F5" si="1">SUM(G5,H5)</f>
        <v>3302</v>
      </c>
      <c r="G5" s="52">
        <f>SUM(G6:G10)</f>
        <v>2550</v>
      </c>
      <c r="H5" s="52">
        <f>SUM(H6:H10)</f>
        <v>752</v>
      </c>
      <c r="I5" s="211">
        <f>SUM(I6:I10)</f>
        <v>99.999999999999986</v>
      </c>
      <c r="J5" s="212">
        <f t="shared" ref="J5" si="2">SUM(K5,L5)</f>
        <v>2105</v>
      </c>
      <c r="K5" s="52">
        <f>SUM(K6:K10)</f>
        <v>1547</v>
      </c>
      <c r="L5" s="52">
        <f>SUM(L6:L10)</f>
        <v>558</v>
      </c>
      <c r="M5" s="211">
        <f>SUM(M6:M10)</f>
        <v>100.00000000000001</v>
      </c>
      <c r="N5" s="212">
        <f t="shared" ref="N5" si="3">SUM(O5,P5)</f>
        <v>2076</v>
      </c>
      <c r="O5" s="52">
        <f>SUM(O6:O10)</f>
        <v>1528</v>
      </c>
      <c r="P5" s="52">
        <f>SUM(P6:P10)</f>
        <v>548</v>
      </c>
      <c r="Q5" s="211">
        <f>SUM(Q6:Q10)</f>
        <v>100</v>
      </c>
      <c r="R5" s="52">
        <f t="shared" ref="R5" si="4">SUM(S5,T5)</f>
        <v>1386</v>
      </c>
      <c r="S5" s="52">
        <f>SUM(S6:S10)</f>
        <v>1000</v>
      </c>
      <c r="T5" s="52">
        <f>SUM(T6:T10)</f>
        <v>386</v>
      </c>
      <c r="U5" s="211">
        <f>SUM(U6:U10)</f>
        <v>99.999999999999986</v>
      </c>
    </row>
    <row r="6" spans="1:21" ht="20.100000000000001" customHeight="1">
      <c r="A6" s="46" t="s">
        <v>325</v>
      </c>
      <c r="B6" s="52">
        <f>SUM(C6,D6)</f>
        <v>1088</v>
      </c>
      <c r="C6" s="52">
        <v>787</v>
      </c>
      <c r="D6" s="52">
        <v>301</v>
      </c>
      <c r="E6" s="211">
        <f>IFERROR(B6/B$5*100,"-")</f>
        <v>43.398484244116474</v>
      </c>
      <c r="F6" s="52">
        <f>SUM(G6,H6)</f>
        <v>1312</v>
      </c>
      <c r="G6" s="52">
        <v>975</v>
      </c>
      <c r="H6" s="52">
        <v>337</v>
      </c>
      <c r="I6" s="211">
        <f>IFERROR(F6/F$5*100,"-")</f>
        <v>39.733494851605087</v>
      </c>
      <c r="J6" s="52">
        <f>SUM(K6,L6)</f>
        <v>786</v>
      </c>
      <c r="K6" s="52">
        <v>523</v>
      </c>
      <c r="L6" s="52">
        <v>263</v>
      </c>
      <c r="M6" s="211">
        <f>IFERROR(J6/J$5*100,"-")</f>
        <v>37.339667458432302</v>
      </c>
      <c r="N6" s="52">
        <f>SUM(O6,P6)</f>
        <v>741</v>
      </c>
      <c r="O6" s="52">
        <v>503</v>
      </c>
      <c r="P6" s="52">
        <v>238</v>
      </c>
      <c r="Q6" s="211">
        <f>IFERROR(N6/N$5*100,"-")</f>
        <v>35.693641618497111</v>
      </c>
      <c r="R6" s="52">
        <f>SUM(S6,T6)</f>
        <v>452</v>
      </c>
      <c r="S6" s="52">
        <v>293</v>
      </c>
      <c r="T6" s="52">
        <v>159</v>
      </c>
      <c r="U6" s="211">
        <f>IFERROR(R6/R$5*100,"-")</f>
        <v>32.611832611832611</v>
      </c>
    </row>
    <row r="7" spans="1:21" ht="20.100000000000001" customHeight="1">
      <c r="A7" s="46" t="s">
        <v>326</v>
      </c>
      <c r="B7" s="52">
        <f>SUM(C7,D7)</f>
        <v>583</v>
      </c>
      <c r="C7" s="52">
        <v>425</v>
      </c>
      <c r="D7" s="52">
        <v>158</v>
      </c>
      <c r="E7" s="211">
        <f t="shared" ref="E7:E10" si="5">IFERROR(B7/B$5*100,"-")</f>
        <v>23.254886318308735</v>
      </c>
      <c r="F7" s="52">
        <f>SUM(G7,H7)</f>
        <v>783</v>
      </c>
      <c r="G7" s="52">
        <v>585</v>
      </c>
      <c r="H7" s="52">
        <v>198</v>
      </c>
      <c r="I7" s="211">
        <f t="shared" ref="I7:I10" si="6">IFERROR(F7/F$5*100,"-")</f>
        <v>23.71290127195639</v>
      </c>
      <c r="J7" s="52">
        <f>SUM(K7,L7)</f>
        <v>496</v>
      </c>
      <c r="K7" s="52">
        <v>339</v>
      </c>
      <c r="L7" s="52">
        <v>157</v>
      </c>
      <c r="M7" s="211">
        <f t="shared" ref="M7:M10" si="7">IFERROR(J7/J$5*100,"-")</f>
        <v>23.562945368171022</v>
      </c>
      <c r="N7" s="52">
        <f>SUM(O7,P7)</f>
        <v>494</v>
      </c>
      <c r="O7" s="52">
        <v>332</v>
      </c>
      <c r="P7" s="52">
        <v>162</v>
      </c>
      <c r="Q7" s="211">
        <f t="shared" ref="Q7:Q10" si="8">IFERROR(N7/N$5*100,"-")</f>
        <v>23.795761078998073</v>
      </c>
      <c r="R7" s="52">
        <f>SUM(S7,T7)</f>
        <v>412</v>
      </c>
      <c r="S7" s="52">
        <v>286</v>
      </c>
      <c r="T7" s="52">
        <v>126</v>
      </c>
      <c r="U7" s="211">
        <f t="shared" ref="U7:U10" si="9">IFERROR(R7/R$5*100,"-")</f>
        <v>29.725829725829726</v>
      </c>
    </row>
    <row r="8" spans="1:21" ht="20.100000000000001" customHeight="1">
      <c r="A8" s="46" t="s">
        <v>327</v>
      </c>
      <c r="B8" s="52">
        <f>SUM(C8,D8)</f>
        <v>446</v>
      </c>
      <c r="C8" s="52">
        <v>388</v>
      </c>
      <c r="D8" s="52">
        <v>58</v>
      </c>
      <c r="E8" s="211">
        <f t="shared" si="5"/>
        <v>17.790187475069803</v>
      </c>
      <c r="F8" s="52">
        <f>SUM(G8,H8)</f>
        <v>734</v>
      </c>
      <c r="G8" s="52">
        <v>622</v>
      </c>
      <c r="H8" s="52">
        <v>112</v>
      </c>
      <c r="I8" s="211">
        <f t="shared" si="6"/>
        <v>22.228952150211992</v>
      </c>
      <c r="J8" s="52">
        <f>SUM(K8,L8)</f>
        <v>499</v>
      </c>
      <c r="K8" s="52">
        <v>431</v>
      </c>
      <c r="L8" s="52">
        <v>68</v>
      </c>
      <c r="M8" s="211">
        <f t="shared" si="7"/>
        <v>23.705463182897862</v>
      </c>
      <c r="N8" s="52">
        <f>SUM(O8,P8)</f>
        <v>527</v>
      </c>
      <c r="O8" s="52">
        <v>447</v>
      </c>
      <c r="P8" s="52">
        <v>80</v>
      </c>
      <c r="Q8" s="211">
        <f t="shared" si="8"/>
        <v>25.385356454720615</v>
      </c>
      <c r="R8" s="52">
        <f>SUM(S8,T8)</f>
        <v>361</v>
      </c>
      <c r="S8" s="52">
        <v>302</v>
      </c>
      <c r="T8" s="52">
        <v>59</v>
      </c>
      <c r="U8" s="211">
        <f t="shared" si="9"/>
        <v>26.046176046176043</v>
      </c>
    </row>
    <row r="9" spans="1:21" ht="20.100000000000001" customHeight="1">
      <c r="A9" s="46" t="s">
        <v>328</v>
      </c>
      <c r="B9" s="52">
        <f>SUM(C9,D9)</f>
        <v>265</v>
      </c>
      <c r="C9" s="52">
        <v>206</v>
      </c>
      <c r="D9" s="52">
        <v>59</v>
      </c>
      <c r="E9" s="211">
        <f t="shared" si="5"/>
        <v>10.570402871958516</v>
      </c>
      <c r="F9" s="52">
        <f>SUM(G9,H9)</f>
        <v>302</v>
      </c>
      <c r="G9" s="52">
        <v>228</v>
      </c>
      <c r="H9" s="52">
        <v>74</v>
      </c>
      <c r="I9" s="211">
        <f t="shared" si="6"/>
        <v>9.1459721380981218</v>
      </c>
      <c r="J9" s="52">
        <f>SUM(K9,L9)</f>
        <v>183</v>
      </c>
      <c r="K9" s="52">
        <v>135</v>
      </c>
      <c r="L9" s="52">
        <v>48</v>
      </c>
      <c r="M9" s="211">
        <f t="shared" si="7"/>
        <v>8.6935866983372918</v>
      </c>
      <c r="N9" s="52">
        <f>SUM(O9,P9)</f>
        <v>159</v>
      </c>
      <c r="O9" s="52">
        <v>119</v>
      </c>
      <c r="P9" s="52">
        <v>40</v>
      </c>
      <c r="Q9" s="211">
        <f t="shared" si="8"/>
        <v>7.6589595375722546</v>
      </c>
      <c r="R9" s="52">
        <f>SUM(S9,T9)</f>
        <v>90</v>
      </c>
      <c r="S9" s="52">
        <v>66</v>
      </c>
      <c r="T9" s="52">
        <v>24</v>
      </c>
      <c r="U9" s="211">
        <f t="shared" si="9"/>
        <v>6.4935064935064926</v>
      </c>
    </row>
    <row r="10" spans="1:21" ht="20.100000000000001" customHeight="1" thickBot="1">
      <c r="A10" s="180" t="s">
        <v>329</v>
      </c>
      <c r="B10" s="181">
        <f>SUM(C10,D10)</f>
        <v>125</v>
      </c>
      <c r="C10" s="181">
        <v>108</v>
      </c>
      <c r="D10" s="181">
        <v>17</v>
      </c>
      <c r="E10" s="213">
        <f t="shared" si="5"/>
        <v>4.9860390905464698</v>
      </c>
      <c r="F10" s="181">
        <f>SUM(G10,H10)</f>
        <v>171</v>
      </c>
      <c r="G10" s="181">
        <v>140</v>
      </c>
      <c r="H10" s="181">
        <v>31</v>
      </c>
      <c r="I10" s="213">
        <f t="shared" si="6"/>
        <v>5.1786795881284071</v>
      </c>
      <c r="J10" s="181">
        <f>SUM(K10,L10)</f>
        <v>141</v>
      </c>
      <c r="K10" s="181">
        <v>119</v>
      </c>
      <c r="L10" s="181">
        <v>22</v>
      </c>
      <c r="M10" s="213">
        <f t="shared" si="7"/>
        <v>6.6983372921615203</v>
      </c>
      <c r="N10" s="181">
        <f>SUM(O10,P10)</f>
        <v>155</v>
      </c>
      <c r="O10" s="181">
        <v>127</v>
      </c>
      <c r="P10" s="181">
        <v>28</v>
      </c>
      <c r="Q10" s="213">
        <f t="shared" si="8"/>
        <v>7.4662813102119463</v>
      </c>
      <c r="R10" s="181">
        <f>SUM(S10,T10)</f>
        <v>71</v>
      </c>
      <c r="S10" s="181">
        <v>53</v>
      </c>
      <c r="T10" s="181">
        <v>18</v>
      </c>
      <c r="U10" s="213">
        <f t="shared" si="9"/>
        <v>5.1226551226551225</v>
      </c>
    </row>
    <row r="11" spans="1:21" ht="20.100000000000001" customHeight="1">
      <c r="A11" s="342"/>
      <c r="B11" s="381" t="s">
        <v>616</v>
      </c>
      <c r="C11" s="343"/>
      <c r="D11" s="343"/>
      <c r="E11" s="343"/>
      <c r="F11" s="381" t="s">
        <v>617</v>
      </c>
      <c r="G11" s="343"/>
      <c r="H11" s="343"/>
      <c r="I11" s="343"/>
      <c r="J11" s="381" t="s">
        <v>618</v>
      </c>
      <c r="K11" s="343"/>
      <c r="L11" s="343"/>
      <c r="M11" s="343"/>
      <c r="N11" s="381" t="s">
        <v>619</v>
      </c>
      <c r="O11" s="343"/>
      <c r="P11" s="343"/>
      <c r="Q11" s="343"/>
      <c r="R11" s="381" t="s">
        <v>620</v>
      </c>
      <c r="S11" s="343"/>
      <c r="T11" s="343"/>
      <c r="U11" s="343"/>
    </row>
    <row r="12" spans="1:21" ht="20.100000000000001" customHeight="1">
      <c r="A12" s="342"/>
      <c r="B12" s="302" t="s">
        <v>330</v>
      </c>
      <c r="C12" s="302"/>
      <c r="D12" s="302"/>
      <c r="E12" s="378" t="s">
        <v>321</v>
      </c>
      <c r="F12" s="302" t="s">
        <v>330</v>
      </c>
      <c r="G12" s="302"/>
      <c r="H12" s="302"/>
      <c r="I12" s="378" t="s">
        <v>321</v>
      </c>
      <c r="J12" s="302" t="s">
        <v>320</v>
      </c>
      <c r="K12" s="302"/>
      <c r="L12" s="302"/>
      <c r="M12" s="378" t="s">
        <v>331</v>
      </c>
      <c r="N12" s="302" t="s">
        <v>330</v>
      </c>
      <c r="O12" s="302"/>
      <c r="P12" s="302"/>
      <c r="Q12" s="378" t="s">
        <v>321</v>
      </c>
      <c r="R12" s="302" t="s">
        <v>330</v>
      </c>
      <c r="S12" s="302"/>
      <c r="T12" s="302"/>
      <c r="U12" s="378" t="s">
        <v>321</v>
      </c>
    </row>
    <row r="13" spans="1:21" ht="20.100000000000001" customHeight="1">
      <c r="A13" s="342"/>
      <c r="B13" s="115" t="s">
        <v>145</v>
      </c>
      <c r="C13" s="226" t="s">
        <v>406</v>
      </c>
      <c r="D13" s="226" t="s">
        <v>407</v>
      </c>
      <c r="E13" s="343"/>
      <c r="F13" s="115" t="s">
        <v>145</v>
      </c>
      <c r="G13" s="226" t="s">
        <v>406</v>
      </c>
      <c r="H13" s="226" t="s">
        <v>407</v>
      </c>
      <c r="I13" s="343"/>
      <c r="J13" s="115" t="s">
        <v>145</v>
      </c>
      <c r="K13" s="226" t="s">
        <v>406</v>
      </c>
      <c r="L13" s="226" t="s">
        <v>407</v>
      </c>
      <c r="M13" s="343"/>
      <c r="N13" s="115" t="s">
        <v>145</v>
      </c>
      <c r="O13" s="226" t="s">
        <v>406</v>
      </c>
      <c r="P13" s="226" t="s">
        <v>407</v>
      </c>
      <c r="Q13" s="343"/>
      <c r="R13" s="115" t="s">
        <v>332</v>
      </c>
      <c r="S13" s="226" t="s">
        <v>406</v>
      </c>
      <c r="T13" s="226" t="s">
        <v>407</v>
      </c>
      <c r="U13" s="343"/>
    </row>
    <row r="14" spans="1:21" s="36" customFormat="1" ht="20.100000000000001" customHeight="1">
      <c r="A14" s="46" t="s">
        <v>333</v>
      </c>
      <c r="B14" s="52">
        <f t="shared" ref="B14" si="10">SUM(C14,D14)</f>
        <v>835</v>
      </c>
      <c r="C14" s="52">
        <f>SUM(C15:C19)</f>
        <v>596</v>
      </c>
      <c r="D14" s="52">
        <f>SUM(D15:D19)</f>
        <v>239</v>
      </c>
      <c r="E14" s="211">
        <f>SUM(E15:E19)</f>
        <v>100.00000000000001</v>
      </c>
      <c r="F14" s="52">
        <f t="shared" ref="F14" si="11">SUM(G14,H14)</f>
        <v>675</v>
      </c>
      <c r="G14" s="52">
        <f>SUM(G15:G19)</f>
        <v>468</v>
      </c>
      <c r="H14" s="52">
        <f>SUM(H15:H19)</f>
        <v>207</v>
      </c>
      <c r="I14" s="211">
        <f>SUM(I15:I19)</f>
        <v>99.999999999999986</v>
      </c>
      <c r="J14" s="212">
        <f t="shared" ref="J14" si="12">SUM(K14,L14)</f>
        <v>638</v>
      </c>
      <c r="K14" s="52">
        <f>SUM(K15:K19)</f>
        <v>502</v>
      </c>
      <c r="L14" s="52">
        <f>SUM(L15:L19)</f>
        <v>136</v>
      </c>
      <c r="M14" s="211">
        <f>SUM(M15:M19)</f>
        <v>100</v>
      </c>
      <c r="N14" s="76">
        <f>SUM(N15:N19)</f>
        <v>544</v>
      </c>
      <c r="O14" s="76">
        <f t="shared" ref="O14:P14" si="13">SUM(O15:O19)</f>
        <v>442</v>
      </c>
      <c r="P14" s="76">
        <f t="shared" si="13"/>
        <v>102</v>
      </c>
      <c r="Q14" s="211">
        <f>SUM(Q15:Q19)</f>
        <v>100</v>
      </c>
      <c r="R14" s="76">
        <f>SUM(R15:R19)</f>
        <v>387</v>
      </c>
      <c r="S14" s="76">
        <f t="shared" ref="S14:T14" si="14">SUM(S15:S19)</f>
        <v>302</v>
      </c>
      <c r="T14" s="76">
        <f t="shared" si="14"/>
        <v>85</v>
      </c>
      <c r="U14" s="211">
        <f>SUM(U15:U19)</f>
        <v>100</v>
      </c>
    </row>
    <row r="15" spans="1:21" ht="20.100000000000001" customHeight="1">
      <c r="A15" s="46" t="s">
        <v>325</v>
      </c>
      <c r="B15" s="52">
        <f>SUM(C15,D15)</f>
        <v>285</v>
      </c>
      <c r="C15" s="52">
        <v>183</v>
      </c>
      <c r="D15" s="52">
        <v>102</v>
      </c>
      <c r="E15" s="211">
        <f>IFERROR(B15/B$14*100,"-")</f>
        <v>34.131736526946113</v>
      </c>
      <c r="F15" s="52">
        <f>SUM(G15,H15)</f>
        <v>236</v>
      </c>
      <c r="G15" s="52">
        <v>146</v>
      </c>
      <c r="H15" s="52">
        <v>90</v>
      </c>
      <c r="I15" s="211">
        <f>IFERROR(F15/F$14*100,"-")</f>
        <v>34.962962962962962</v>
      </c>
      <c r="J15" s="52">
        <f>SUM(K15,L15)</f>
        <v>209</v>
      </c>
      <c r="K15" s="52">
        <v>161</v>
      </c>
      <c r="L15" s="52">
        <v>48</v>
      </c>
      <c r="M15" s="211">
        <f>IFERROR(J15/J$14*100,"-")</f>
        <v>32.758620689655174</v>
      </c>
      <c r="N15" s="27">
        <f>SUM(O15:P15)</f>
        <v>169</v>
      </c>
      <c r="O15" s="27">
        <v>129</v>
      </c>
      <c r="P15" s="27">
        <v>40</v>
      </c>
      <c r="Q15" s="211">
        <f>IFERROR(N15/N$14*100,"-")</f>
        <v>31.066176470588236</v>
      </c>
      <c r="R15" s="27">
        <f>SUM(S15:T15)</f>
        <v>143</v>
      </c>
      <c r="S15" s="27">
        <v>109</v>
      </c>
      <c r="T15" s="27">
        <v>34</v>
      </c>
      <c r="U15" s="211">
        <f>IFERROR(R15/R$14*100,"-")</f>
        <v>36.950904392764862</v>
      </c>
    </row>
    <row r="16" spans="1:21" ht="20.100000000000001" customHeight="1">
      <c r="A16" s="46" t="s">
        <v>326</v>
      </c>
      <c r="B16" s="52">
        <f>SUM(C16,D16)</f>
        <v>262</v>
      </c>
      <c r="C16" s="52">
        <v>182</v>
      </c>
      <c r="D16" s="52">
        <v>80</v>
      </c>
      <c r="E16" s="211">
        <f t="shared" ref="E16:E19" si="15">IFERROR(B16/B$14*100,"-")</f>
        <v>31.377245508982039</v>
      </c>
      <c r="F16" s="52">
        <f>SUM(G16,H16)</f>
        <v>181</v>
      </c>
      <c r="G16" s="52">
        <v>116</v>
      </c>
      <c r="H16" s="52">
        <v>65</v>
      </c>
      <c r="I16" s="211">
        <f t="shared" ref="I16:I19" si="16">IFERROR(F16/F$14*100,"-")</f>
        <v>26.814814814814813</v>
      </c>
      <c r="J16" s="52">
        <f>SUM(K16,L16)</f>
        <v>179</v>
      </c>
      <c r="K16" s="52">
        <v>136</v>
      </c>
      <c r="L16" s="52">
        <v>43</v>
      </c>
      <c r="M16" s="211">
        <f t="shared" ref="M16:M19" si="17">IFERROR(J16/J$14*100,"-")</f>
        <v>28.056426332288403</v>
      </c>
      <c r="N16" s="27">
        <f>SUM(O16:P16)</f>
        <v>186</v>
      </c>
      <c r="O16" s="27">
        <v>152</v>
      </c>
      <c r="P16" s="27">
        <v>34</v>
      </c>
      <c r="Q16" s="211">
        <f t="shared" ref="Q16:Q19" si="18">IFERROR(N16/N$14*100,"-")</f>
        <v>34.191176470588239</v>
      </c>
      <c r="R16" s="27">
        <f>SUM(S16:T16)</f>
        <v>110</v>
      </c>
      <c r="S16" s="27">
        <v>81</v>
      </c>
      <c r="T16" s="27">
        <v>29</v>
      </c>
      <c r="U16" s="211">
        <f t="shared" ref="U16:U19" si="19">IFERROR(R16/R$14*100,"-")</f>
        <v>28.423772609819121</v>
      </c>
    </row>
    <row r="17" spans="1:21" ht="20.100000000000001" customHeight="1">
      <c r="A17" s="46" t="s">
        <v>327</v>
      </c>
      <c r="B17" s="52">
        <f>SUM(C17,D17)</f>
        <v>192</v>
      </c>
      <c r="C17" s="52">
        <v>159</v>
      </c>
      <c r="D17" s="52">
        <v>33</v>
      </c>
      <c r="E17" s="211">
        <f t="shared" si="15"/>
        <v>22.994011976047904</v>
      </c>
      <c r="F17" s="52">
        <f>SUM(G17,H17)</f>
        <v>174</v>
      </c>
      <c r="G17" s="52">
        <v>143</v>
      </c>
      <c r="H17" s="52">
        <v>31</v>
      </c>
      <c r="I17" s="211">
        <f t="shared" si="16"/>
        <v>25.777777777777779</v>
      </c>
      <c r="J17" s="52">
        <f>SUM(K17,L17)</f>
        <v>160</v>
      </c>
      <c r="K17" s="52">
        <v>135</v>
      </c>
      <c r="L17" s="52">
        <v>25</v>
      </c>
      <c r="M17" s="211">
        <f t="shared" si="17"/>
        <v>25.078369905956109</v>
      </c>
      <c r="N17" s="27">
        <f>SUM(O17:P17)</f>
        <v>140</v>
      </c>
      <c r="O17" s="27">
        <v>124</v>
      </c>
      <c r="P17" s="27">
        <v>16</v>
      </c>
      <c r="Q17" s="211">
        <f t="shared" si="18"/>
        <v>25.735294117647058</v>
      </c>
      <c r="R17" s="27">
        <f>SUM(S17:T17)</f>
        <v>81</v>
      </c>
      <c r="S17" s="27">
        <v>70</v>
      </c>
      <c r="T17" s="27">
        <v>11</v>
      </c>
      <c r="U17" s="211">
        <f t="shared" si="19"/>
        <v>20.930232558139537</v>
      </c>
    </row>
    <row r="18" spans="1:21" ht="20.100000000000001" customHeight="1">
      <c r="A18" s="46" t="s">
        <v>328</v>
      </c>
      <c r="B18" s="52">
        <f>SUM(C18,D18)</f>
        <v>51</v>
      </c>
      <c r="C18" s="52">
        <v>38</v>
      </c>
      <c r="D18" s="52">
        <v>13</v>
      </c>
      <c r="E18" s="211">
        <f t="shared" si="15"/>
        <v>6.1077844311377243</v>
      </c>
      <c r="F18" s="52">
        <f>SUM(G18,H18)</f>
        <v>51</v>
      </c>
      <c r="G18" s="52">
        <v>38</v>
      </c>
      <c r="H18" s="52">
        <v>13</v>
      </c>
      <c r="I18" s="211">
        <f t="shared" si="16"/>
        <v>7.5555555555555554</v>
      </c>
      <c r="J18" s="52">
        <f>SUM(K18,L18)</f>
        <v>50</v>
      </c>
      <c r="K18" s="52">
        <v>37</v>
      </c>
      <c r="L18" s="52">
        <v>13</v>
      </c>
      <c r="M18" s="211">
        <f t="shared" si="17"/>
        <v>7.8369905956112857</v>
      </c>
      <c r="N18" s="27">
        <f>SUM(O18:P18)</f>
        <v>29</v>
      </c>
      <c r="O18" s="27">
        <v>22</v>
      </c>
      <c r="P18" s="27">
        <v>7</v>
      </c>
      <c r="Q18" s="211">
        <f t="shared" si="18"/>
        <v>5.3308823529411766</v>
      </c>
      <c r="R18" s="27">
        <f>SUM(S18:T18)</f>
        <v>32</v>
      </c>
      <c r="S18" s="27">
        <v>24</v>
      </c>
      <c r="T18" s="27">
        <v>8</v>
      </c>
      <c r="U18" s="211">
        <f t="shared" si="19"/>
        <v>8.2687338501292</v>
      </c>
    </row>
    <row r="19" spans="1:21" ht="20.100000000000001" customHeight="1">
      <c r="A19" s="46" t="s">
        <v>329</v>
      </c>
      <c r="B19" s="214">
        <f>SUM(C19,D19)</f>
        <v>45</v>
      </c>
      <c r="C19" s="214">
        <v>34</v>
      </c>
      <c r="D19" s="214">
        <v>11</v>
      </c>
      <c r="E19" s="215">
        <f t="shared" si="15"/>
        <v>5.3892215568862278</v>
      </c>
      <c r="F19" s="214">
        <f>SUM(G19,H19)</f>
        <v>33</v>
      </c>
      <c r="G19" s="214">
        <v>25</v>
      </c>
      <c r="H19" s="214">
        <v>8</v>
      </c>
      <c r="I19" s="215">
        <f t="shared" si="16"/>
        <v>4.8888888888888893</v>
      </c>
      <c r="J19" s="214">
        <f>SUM(K19,L19)</f>
        <v>40</v>
      </c>
      <c r="K19" s="214">
        <v>33</v>
      </c>
      <c r="L19" s="214">
        <v>7</v>
      </c>
      <c r="M19" s="215">
        <f t="shared" si="17"/>
        <v>6.2695924764890272</v>
      </c>
      <c r="N19" s="28">
        <f>SUM(O19:P19)</f>
        <v>20</v>
      </c>
      <c r="O19" s="28">
        <v>15</v>
      </c>
      <c r="P19" s="28">
        <v>5</v>
      </c>
      <c r="Q19" s="215">
        <f t="shared" si="18"/>
        <v>3.6764705882352944</v>
      </c>
      <c r="R19" s="28">
        <f>SUM(S19:T19)</f>
        <v>21</v>
      </c>
      <c r="S19" s="28">
        <v>18</v>
      </c>
      <c r="T19" s="28">
        <v>3</v>
      </c>
      <c r="U19" s="215">
        <f t="shared" si="19"/>
        <v>5.4263565891472867</v>
      </c>
    </row>
    <row r="20" spans="1:21" ht="46.5" customHeight="1">
      <c r="A20" s="402" t="s">
        <v>659</v>
      </c>
      <c r="B20" s="370"/>
      <c r="C20" s="370"/>
      <c r="D20" s="370"/>
      <c r="E20" s="370"/>
      <c r="F20" s="370"/>
      <c r="G20" s="370"/>
      <c r="H20" s="370"/>
      <c r="I20" s="370"/>
      <c r="J20" s="370"/>
      <c r="K20" s="370"/>
      <c r="L20" s="370"/>
      <c r="M20" s="370"/>
      <c r="N20" s="218"/>
      <c r="O20" s="218"/>
      <c r="P20" s="218"/>
    </row>
    <row r="21" spans="1:21" ht="20.100000000000001" customHeight="1"/>
    <row r="22" spans="1:21" ht="20.100000000000001" customHeight="1"/>
  </sheetData>
  <mergeCells count="34">
    <mergeCell ref="A20:M20"/>
    <mergeCell ref="I12:I13"/>
    <mergeCell ref="J12:L12"/>
    <mergeCell ref="M12:M13"/>
    <mergeCell ref="N12:P12"/>
    <mergeCell ref="A11:A13"/>
    <mergeCell ref="N11:Q11"/>
    <mergeCell ref="R11:U11"/>
    <mergeCell ref="B12:D12"/>
    <mergeCell ref="E12:E13"/>
    <mergeCell ref="F12:H12"/>
    <mergeCell ref="I3:I4"/>
    <mergeCell ref="J3:L3"/>
    <mergeCell ref="M3:M4"/>
    <mergeCell ref="N3:P3"/>
    <mergeCell ref="Q3:Q4"/>
    <mergeCell ref="R3:T3"/>
    <mergeCell ref="U12:U13"/>
    <mergeCell ref="Q12:Q13"/>
    <mergeCell ref="R12:T12"/>
    <mergeCell ref="B11:E11"/>
    <mergeCell ref="F11:I11"/>
    <mergeCell ref="J11:M11"/>
    <mergeCell ref="A1:U1"/>
    <mergeCell ref="A2:A4"/>
    <mergeCell ref="B2:E2"/>
    <mergeCell ref="F2:I2"/>
    <mergeCell ref="J2:M2"/>
    <mergeCell ref="N2:Q2"/>
    <mergeCell ref="R2:U2"/>
    <mergeCell ref="B3:D3"/>
    <mergeCell ref="E3:E4"/>
    <mergeCell ref="F3:H3"/>
    <mergeCell ref="U3:U4"/>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4"/>
  <sheetViews>
    <sheetView showGridLines="0" showRuler="0" zoomScaleNormal="100" zoomScalePageLayoutView="125" workbookViewId="0">
      <pane xSplit="1" ySplit="3" topLeftCell="B4" activePane="bottomRight" state="frozen"/>
      <selection activeCell="F17" sqref="F17"/>
      <selection pane="topRight" activeCell="F17" sqref="F17"/>
      <selection pane="bottomLeft" activeCell="F17" sqref="F17"/>
      <selection pane="bottomRight" activeCell="N21" sqref="N21"/>
    </sheetView>
  </sheetViews>
  <sheetFormatPr defaultColWidth="9" defaultRowHeight="15.75"/>
  <cols>
    <col min="1" max="1" width="18.125" style="17" customWidth="1"/>
    <col min="2" max="2" width="9" style="24" customWidth="1"/>
    <col min="3" max="3" width="9" style="17" customWidth="1"/>
    <col min="4" max="4" width="9" style="24" customWidth="1"/>
    <col min="5" max="5" width="9" style="17" customWidth="1"/>
    <col min="6" max="6" width="9" style="24" customWidth="1"/>
    <col min="7" max="7" width="9" style="17" customWidth="1"/>
    <col min="8" max="8" width="9" style="24" customWidth="1"/>
    <col min="9" max="9" width="9" style="17" customWidth="1"/>
    <col min="10" max="10" width="9" style="24" customWidth="1"/>
    <col min="11" max="11" width="9" style="17" customWidth="1"/>
    <col min="12" max="16384" width="9" style="17"/>
  </cols>
  <sheetData>
    <row r="1" spans="1:11" ht="25.5" customHeight="1">
      <c r="A1" s="297" t="s">
        <v>858</v>
      </c>
      <c r="B1" s="297"/>
      <c r="C1" s="297"/>
      <c r="D1" s="297"/>
      <c r="E1" s="297"/>
      <c r="F1" s="297"/>
      <c r="G1" s="297"/>
      <c r="H1" s="297"/>
      <c r="I1" s="297"/>
      <c r="J1" s="297"/>
      <c r="K1" s="297"/>
    </row>
    <row r="2" spans="1:11" ht="20.100000000000001" customHeight="1">
      <c r="A2" s="265"/>
      <c r="B2" s="379" t="s">
        <v>611</v>
      </c>
      <c r="C2" s="302"/>
      <c r="D2" s="379" t="s">
        <v>612</v>
      </c>
      <c r="E2" s="302"/>
      <c r="F2" s="379" t="s">
        <v>613</v>
      </c>
      <c r="G2" s="302"/>
      <c r="H2" s="379" t="s">
        <v>614</v>
      </c>
      <c r="I2" s="302"/>
      <c r="J2" s="379" t="s">
        <v>615</v>
      </c>
      <c r="K2" s="302"/>
    </row>
    <row r="3" spans="1:11" s="36" customFormat="1" ht="20.100000000000001" customHeight="1">
      <c r="A3" s="263"/>
      <c r="B3" s="262" t="s">
        <v>870</v>
      </c>
      <c r="C3" s="262" t="s">
        <v>4</v>
      </c>
      <c r="D3" s="262" t="s">
        <v>143</v>
      </c>
      <c r="E3" s="262" t="s">
        <v>4</v>
      </c>
      <c r="F3" s="262" t="s">
        <v>143</v>
      </c>
      <c r="G3" s="262" t="s">
        <v>871</v>
      </c>
      <c r="H3" s="262" t="s">
        <v>143</v>
      </c>
      <c r="I3" s="262" t="s">
        <v>4</v>
      </c>
      <c r="J3" s="262" t="s">
        <v>143</v>
      </c>
      <c r="K3" s="262" t="s">
        <v>872</v>
      </c>
    </row>
    <row r="4" spans="1:11" ht="20.100000000000001" customHeight="1">
      <c r="A4" s="264" t="s">
        <v>153</v>
      </c>
      <c r="B4" s="119">
        <f t="shared" ref="B4:K4" si="0">SUM(B7:B11)</f>
        <v>2502</v>
      </c>
      <c r="C4" s="66">
        <f t="shared" si="0"/>
        <v>100.00000000000001</v>
      </c>
      <c r="D4" s="119">
        <f t="shared" si="0"/>
        <v>3289</v>
      </c>
      <c r="E4" s="66">
        <f t="shared" si="0"/>
        <v>99.999999999999986</v>
      </c>
      <c r="F4" s="119">
        <f t="shared" si="0"/>
        <v>2099</v>
      </c>
      <c r="G4" s="66">
        <f t="shared" si="0"/>
        <v>99.999999999999986</v>
      </c>
      <c r="H4" s="119">
        <f t="shared" si="0"/>
        <v>2066</v>
      </c>
      <c r="I4" s="66">
        <f t="shared" si="0"/>
        <v>99.999999999999986</v>
      </c>
      <c r="J4" s="119">
        <f t="shared" si="0"/>
        <v>1380</v>
      </c>
      <c r="K4" s="66">
        <f t="shared" si="0"/>
        <v>100</v>
      </c>
    </row>
    <row r="5" spans="1:11" ht="20.100000000000001" customHeight="1">
      <c r="A5" s="23" t="s">
        <v>873</v>
      </c>
      <c r="B5" s="119">
        <v>1913</v>
      </c>
      <c r="C5" s="66">
        <f>IFERROR(B5/B$4*100,"-")</f>
        <v>76.458832933653071</v>
      </c>
      <c r="D5" s="119">
        <v>2546</v>
      </c>
      <c r="E5" s="66">
        <f>IFERROR(D5/D$4*100,"-")</f>
        <v>77.409546974764368</v>
      </c>
      <c r="F5" s="119">
        <v>1544</v>
      </c>
      <c r="G5" s="66">
        <f>IFERROR(F5/F$4*100,"-")</f>
        <v>73.558837541686515</v>
      </c>
      <c r="H5" s="119">
        <v>1522</v>
      </c>
      <c r="I5" s="66">
        <f>IFERROR(H5/H$4*100,"-")</f>
        <v>73.668925459825758</v>
      </c>
      <c r="J5" s="119">
        <v>997</v>
      </c>
      <c r="K5" s="66">
        <f>IFERROR(J5/J$4*100,"-")</f>
        <v>72.246376811594203</v>
      </c>
    </row>
    <row r="6" spans="1:11" ht="20.100000000000001" customHeight="1">
      <c r="A6" s="120" t="s">
        <v>244</v>
      </c>
      <c r="B6" s="121">
        <v>589</v>
      </c>
      <c r="C6" s="67">
        <f t="shared" ref="C6:E11" si="1">IFERROR(B6/B$4*100,"-")</f>
        <v>23.541167066346922</v>
      </c>
      <c r="D6" s="121">
        <v>743</v>
      </c>
      <c r="E6" s="67">
        <f t="shared" si="1"/>
        <v>22.590453025235636</v>
      </c>
      <c r="F6" s="121">
        <v>555</v>
      </c>
      <c r="G6" s="67">
        <f t="shared" ref="G6:G11" si="2">IFERROR(F6/F$4*100,"-")</f>
        <v>26.441162458313482</v>
      </c>
      <c r="H6" s="121">
        <v>544</v>
      </c>
      <c r="I6" s="67">
        <f t="shared" ref="I6:I11" si="3">IFERROR(H6/H$4*100,"-")</f>
        <v>26.331074540174249</v>
      </c>
      <c r="J6" s="121">
        <v>383</v>
      </c>
      <c r="K6" s="67">
        <f t="shared" ref="K6:K11" si="4">IFERROR(J6/J$4*100,"-")</f>
        <v>27.753623188405797</v>
      </c>
    </row>
    <row r="7" spans="1:11" ht="20.100000000000001" customHeight="1">
      <c r="A7" s="122" t="s">
        <v>874</v>
      </c>
      <c r="B7" s="119">
        <v>1336</v>
      </c>
      <c r="C7" s="66">
        <f t="shared" si="1"/>
        <v>53.397282174260596</v>
      </c>
      <c r="D7" s="119">
        <v>1714</v>
      </c>
      <c r="E7" s="66">
        <f t="shared" si="1"/>
        <v>52.113104287017329</v>
      </c>
      <c r="F7" s="119">
        <v>1097</v>
      </c>
      <c r="G7" s="66">
        <f t="shared" si="2"/>
        <v>52.262982372558362</v>
      </c>
      <c r="H7" s="119">
        <v>1163</v>
      </c>
      <c r="I7" s="66">
        <f t="shared" si="3"/>
        <v>56.292352371732811</v>
      </c>
      <c r="J7" s="119">
        <v>776</v>
      </c>
      <c r="K7" s="66">
        <f t="shared" si="4"/>
        <v>56.231884057971016</v>
      </c>
    </row>
    <row r="8" spans="1:11" ht="20.100000000000001" customHeight="1">
      <c r="A8" s="46" t="s">
        <v>875</v>
      </c>
      <c r="B8" s="119">
        <v>953</v>
      </c>
      <c r="C8" s="66">
        <f t="shared" si="1"/>
        <v>38.089528377298159</v>
      </c>
      <c r="D8" s="119">
        <v>1284</v>
      </c>
      <c r="E8" s="66">
        <f t="shared" si="1"/>
        <v>39.039221647917302</v>
      </c>
      <c r="F8" s="119">
        <v>801</v>
      </c>
      <c r="G8" s="66">
        <f t="shared" si="2"/>
        <v>38.161029061457832</v>
      </c>
      <c r="H8" s="119">
        <v>705</v>
      </c>
      <c r="I8" s="66">
        <f t="shared" si="3"/>
        <v>34.123910939012589</v>
      </c>
      <c r="J8" s="119">
        <v>481</v>
      </c>
      <c r="K8" s="66">
        <f t="shared" si="4"/>
        <v>34.855072463768117</v>
      </c>
    </row>
    <row r="9" spans="1:11" ht="20.100000000000001" customHeight="1">
      <c r="A9" s="46" t="s">
        <v>247</v>
      </c>
      <c r="B9" s="119">
        <v>169</v>
      </c>
      <c r="C9" s="66">
        <f t="shared" si="1"/>
        <v>6.754596322941647</v>
      </c>
      <c r="D9" s="119">
        <v>233</v>
      </c>
      <c r="E9" s="66">
        <f t="shared" si="1"/>
        <v>7.0842201276983889</v>
      </c>
      <c r="F9" s="119">
        <v>183</v>
      </c>
      <c r="G9" s="66">
        <f t="shared" si="2"/>
        <v>8.7184373511195812</v>
      </c>
      <c r="H9" s="119">
        <v>165</v>
      </c>
      <c r="I9" s="66">
        <f t="shared" si="3"/>
        <v>7.9864472410454983</v>
      </c>
      <c r="J9" s="119">
        <v>96</v>
      </c>
      <c r="K9" s="66">
        <f t="shared" si="4"/>
        <v>6.9565217391304346</v>
      </c>
    </row>
    <row r="10" spans="1:11" ht="20.100000000000001" customHeight="1">
      <c r="A10" s="46" t="s">
        <v>248</v>
      </c>
      <c r="B10" s="119">
        <v>44</v>
      </c>
      <c r="C10" s="66">
        <f t="shared" si="1"/>
        <v>1.7585931254996003</v>
      </c>
      <c r="D10" s="119">
        <v>58</v>
      </c>
      <c r="E10" s="66">
        <f t="shared" si="1"/>
        <v>1.7634539373669809</v>
      </c>
      <c r="F10" s="119">
        <v>18</v>
      </c>
      <c r="G10" s="66">
        <f t="shared" si="2"/>
        <v>0.85755121486422103</v>
      </c>
      <c r="H10" s="119">
        <v>33</v>
      </c>
      <c r="I10" s="66">
        <f t="shared" si="3"/>
        <v>1.5972894482090998</v>
      </c>
      <c r="J10" s="119">
        <v>27</v>
      </c>
      <c r="K10" s="66">
        <f t="shared" si="4"/>
        <v>1.956521739130435</v>
      </c>
    </row>
    <row r="11" spans="1:11" ht="20.100000000000001" customHeight="1" thickBot="1">
      <c r="A11" s="46" t="s">
        <v>249</v>
      </c>
      <c r="B11" s="131" t="s">
        <v>19</v>
      </c>
      <c r="C11" s="125" t="str">
        <f t="shared" si="1"/>
        <v>-</v>
      </c>
      <c r="D11" s="131" t="s">
        <v>19</v>
      </c>
      <c r="E11" s="125" t="str">
        <f t="shared" si="1"/>
        <v>-</v>
      </c>
      <c r="F11" s="131" t="s">
        <v>19</v>
      </c>
      <c r="G11" s="125" t="str">
        <f t="shared" si="2"/>
        <v>-</v>
      </c>
      <c r="H11" s="131" t="s">
        <v>876</v>
      </c>
      <c r="I11" s="125" t="str">
        <f t="shared" si="3"/>
        <v>-</v>
      </c>
      <c r="J11" s="131" t="s">
        <v>877</v>
      </c>
      <c r="K11" s="125" t="str">
        <f t="shared" si="4"/>
        <v>-</v>
      </c>
    </row>
    <row r="12" spans="1:11" ht="20.100000000000001" customHeight="1">
      <c r="A12" s="266"/>
      <c r="B12" s="381" t="s">
        <v>616</v>
      </c>
      <c r="C12" s="343"/>
      <c r="D12" s="381" t="s">
        <v>617</v>
      </c>
      <c r="E12" s="343"/>
      <c r="F12" s="381" t="s">
        <v>618</v>
      </c>
      <c r="G12" s="343"/>
      <c r="H12" s="381" t="s">
        <v>619</v>
      </c>
      <c r="I12" s="343"/>
      <c r="J12" s="381" t="s">
        <v>620</v>
      </c>
      <c r="K12" s="343"/>
    </row>
    <row r="13" spans="1:11" s="36" customFormat="1" ht="20.100000000000001" customHeight="1">
      <c r="A13" s="263"/>
      <c r="B13" s="262" t="s">
        <v>878</v>
      </c>
      <c r="C13" s="262" t="s">
        <v>4</v>
      </c>
      <c r="D13" s="262" t="s">
        <v>879</v>
      </c>
      <c r="E13" s="262" t="s">
        <v>4</v>
      </c>
      <c r="F13" s="262" t="s">
        <v>879</v>
      </c>
      <c r="G13" s="262" t="s">
        <v>880</v>
      </c>
      <c r="H13" s="262" t="s">
        <v>143</v>
      </c>
      <c r="I13" s="262" t="s">
        <v>881</v>
      </c>
      <c r="J13" s="262" t="s">
        <v>882</v>
      </c>
      <c r="K13" s="262" t="s">
        <v>4</v>
      </c>
    </row>
    <row r="14" spans="1:11" ht="20.100000000000001" customHeight="1">
      <c r="A14" s="264" t="s">
        <v>883</v>
      </c>
      <c r="B14" s="119">
        <f t="shared" ref="B14:D14" si="5">SUM(B17:B21)</f>
        <v>833</v>
      </c>
      <c r="C14" s="66">
        <f t="shared" ref="C14:G14" si="6">SUM(C17:C21)</f>
        <v>100</v>
      </c>
      <c r="D14" s="119">
        <f t="shared" si="5"/>
        <v>671</v>
      </c>
      <c r="E14" s="66">
        <f t="shared" si="6"/>
        <v>100</v>
      </c>
      <c r="F14" s="119">
        <f t="shared" si="6"/>
        <v>636</v>
      </c>
      <c r="G14" s="66">
        <f t="shared" si="6"/>
        <v>100.00000000000001</v>
      </c>
      <c r="H14" s="31">
        <f>SUM(H17:H21)</f>
        <v>541</v>
      </c>
      <c r="I14" s="20">
        <f t="shared" ref="I14" si="7">SUM(I17:I21)</f>
        <v>100.00000000000001</v>
      </c>
      <c r="J14" s="31">
        <f>SUM(J17:J21)</f>
        <v>385</v>
      </c>
      <c r="K14" s="20">
        <f t="shared" ref="K14" si="8">SUM(K17:K21)</f>
        <v>99.999999999999986</v>
      </c>
    </row>
    <row r="15" spans="1:11" ht="20.100000000000001" customHeight="1">
      <c r="A15" s="23" t="s">
        <v>243</v>
      </c>
      <c r="B15" s="119">
        <v>595</v>
      </c>
      <c r="C15" s="66">
        <f>IFERROR(B15/B$14*100,"-")</f>
        <v>71.428571428571431</v>
      </c>
      <c r="D15" s="119">
        <v>464</v>
      </c>
      <c r="E15" s="66">
        <f>IFERROR(D15/D$14*100,"-")</f>
        <v>69.150521609538004</v>
      </c>
      <c r="F15" s="119">
        <v>502</v>
      </c>
      <c r="G15" s="66">
        <f>IFERROR(F15/F$14*100,"-")</f>
        <v>78.930817610062903</v>
      </c>
      <c r="H15" s="44">
        <v>442</v>
      </c>
      <c r="I15" s="66">
        <f>IFERROR(H15/H$14*100,"-")</f>
        <v>81.700554528650642</v>
      </c>
      <c r="J15" s="44">
        <v>301</v>
      </c>
      <c r="K15" s="66">
        <f>IFERROR(J15/J$14*100,"-")</f>
        <v>78.181818181818187</v>
      </c>
    </row>
    <row r="16" spans="1:11" ht="20.100000000000001" customHeight="1">
      <c r="A16" s="276" t="s">
        <v>244</v>
      </c>
      <c r="B16" s="277">
        <v>238</v>
      </c>
      <c r="C16" s="278">
        <f t="shared" ref="C16:E21" si="9">IFERROR(B16/B$14*100,"-")</f>
        <v>28.571428571428569</v>
      </c>
      <c r="D16" s="277">
        <v>207</v>
      </c>
      <c r="E16" s="278">
        <f t="shared" si="9"/>
        <v>30.849478390462</v>
      </c>
      <c r="F16" s="277">
        <v>134</v>
      </c>
      <c r="G16" s="278">
        <f t="shared" ref="G16:G21" si="10">IFERROR(F16/F$14*100,"-")</f>
        <v>21.069182389937108</v>
      </c>
      <c r="H16" s="69">
        <v>99</v>
      </c>
      <c r="I16" s="67">
        <f t="shared" ref="I16:I21" si="11">IFERROR(H16/H$14*100,"-")</f>
        <v>18.299445471349355</v>
      </c>
      <c r="J16" s="69">
        <v>84</v>
      </c>
      <c r="K16" s="67">
        <f t="shared" ref="K16:K21" si="12">IFERROR(J16/J$14*100,"-")</f>
        <v>21.818181818181817</v>
      </c>
    </row>
    <row r="17" spans="1:11" ht="20.100000000000001" customHeight="1">
      <c r="A17" s="122" t="s">
        <v>884</v>
      </c>
      <c r="B17" s="119">
        <v>457</v>
      </c>
      <c r="C17" s="66">
        <f t="shared" si="9"/>
        <v>54.861944777911162</v>
      </c>
      <c r="D17" s="119">
        <v>375</v>
      </c>
      <c r="E17" s="66">
        <f t="shared" si="9"/>
        <v>55.886736214605072</v>
      </c>
      <c r="F17" s="119">
        <v>381</v>
      </c>
      <c r="G17" s="66">
        <f t="shared" si="10"/>
        <v>59.905660377358494</v>
      </c>
      <c r="H17" s="44">
        <f>275+61</f>
        <v>336</v>
      </c>
      <c r="I17" s="66">
        <f t="shared" si="11"/>
        <v>62.107208872458408</v>
      </c>
      <c r="J17" s="44">
        <v>200</v>
      </c>
      <c r="K17" s="66">
        <f t="shared" si="12"/>
        <v>51.94805194805194</v>
      </c>
    </row>
    <row r="18" spans="1:11" ht="20.100000000000001" customHeight="1">
      <c r="A18" s="46" t="s">
        <v>885</v>
      </c>
      <c r="B18" s="119">
        <v>282</v>
      </c>
      <c r="C18" s="66">
        <f t="shared" si="9"/>
        <v>33.853541416566628</v>
      </c>
      <c r="D18" s="119">
        <v>211</v>
      </c>
      <c r="E18" s="66">
        <f t="shared" si="9"/>
        <v>31.445603576751118</v>
      </c>
      <c r="F18" s="119">
        <v>201</v>
      </c>
      <c r="G18" s="66">
        <f t="shared" si="10"/>
        <v>31.60377358490566</v>
      </c>
      <c r="H18" s="44">
        <f>127+22</f>
        <v>149</v>
      </c>
      <c r="I18" s="66">
        <f t="shared" si="11"/>
        <v>27.541589648798521</v>
      </c>
      <c r="J18" s="44">
        <v>142</v>
      </c>
      <c r="K18" s="66">
        <f t="shared" si="12"/>
        <v>36.883116883116884</v>
      </c>
    </row>
    <row r="19" spans="1:11" ht="20.100000000000001" customHeight="1">
      <c r="A19" s="46" t="s">
        <v>247</v>
      </c>
      <c r="B19" s="119">
        <v>75</v>
      </c>
      <c r="C19" s="66">
        <f t="shared" si="9"/>
        <v>9.0036014405762312</v>
      </c>
      <c r="D19" s="119">
        <v>71</v>
      </c>
      <c r="E19" s="66">
        <f t="shared" si="9"/>
        <v>10.581222056631892</v>
      </c>
      <c r="F19" s="119">
        <v>40</v>
      </c>
      <c r="G19" s="66">
        <f t="shared" si="10"/>
        <v>6.2893081761006293</v>
      </c>
      <c r="H19" s="44">
        <f>27+12</f>
        <v>39</v>
      </c>
      <c r="I19" s="66">
        <f t="shared" si="11"/>
        <v>7.208872458410351</v>
      </c>
      <c r="J19" s="44">
        <v>36</v>
      </c>
      <c r="K19" s="66">
        <f t="shared" si="12"/>
        <v>9.3506493506493502</v>
      </c>
    </row>
    <row r="20" spans="1:11" ht="20.100000000000001" customHeight="1">
      <c r="A20" s="46" t="s">
        <v>248</v>
      </c>
      <c r="B20" s="119">
        <v>19</v>
      </c>
      <c r="C20" s="66">
        <f t="shared" si="9"/>
        <v>2.2809123649459786</v>
      </c>
      <c r="D20" s="119">
        <v>13</v>
      </c>
      <c r="E20" s="66">
        <f t="shared" si="9"/>
        <v>1.9374068554396422</v>
      </c>
      <c r="F20" s="119">
        <v>10</v>
      </c>
      <c r="G20" s="66">
        <f t="shared" si="10"/>
        <v>1.5723270440251573</v>
      </c>
      <c r="H20" s="44">
        <f>11+2</f>
        <v>13</v>
      </c>
      <c r="I20" s="66">
        <f t="shared" si="11"/>
        <v>2.4029574861367835</v>
      </c>
      <c r="J20" s="44">
        <v>7</v>
      </c>
      <c r="K20" s="66">
        <f t="shared" si="12"/>
        <v>1.8181818181818181</v>
      </c>
    </row>
    <row r="21" spans="1:11" ht="20.100000000000001" customHeight="1">
      <c r="A21" s="113" t="s">
        <v>249</v>
      </c>
      <c r="B21" s="121" t="s">
        <v>19</v>
      </c>
      <c r="C21" s="28" t="str">
        <f t="shared" si="9"/>
        <v>-</v>
      </c>
      <c r="D21" s="121">
        <v>1</v>
      </c>
      <c r="E21" s="67">
        <f t="shared" si="9"/>
        <v>0.14903129657228018</v>
      </c>
      <c r="F21" s="121">
        <v>4</v>
      </c>
      <c r="G21" s="67">
        <f t="shared" si="10"/>
        <v>0.62893081761006298</v>
      </c>
      <c r="H21" s="69">
        <f>2+2</f>
        <v>4</v>
      </c>
      <c r="I21" s="67">
        <f t="shared" si="11"/>
        <v>0.73937153419593349</v>
      </c>
      <c r="J21" s="117" t="s">
        <v>19</v>
      </c>
      <c r="K21" s="28" t="str">
        <f t="shared" si="12"/>
        <v>-</v>
      </c>
    </row>
    <row r="22" spans="1:11" s="1" customFormat="1">
      <c r="A22" s="403" t="s">
        <v>432</v>
      </c>
      <c r="B22" s="404"/>
      <c r="C22" s="405"/>
      <c r="D22" s="404"/>
      <c r="F22" s="50"/>
      <c r="G22" s="49"/>
      <c r="H22" s="50"/>
      <c r="I22" s="49"/>
      <c r="J22" s="50"/>
      <c r="K22" s="78"/>
    </row>
    <row r="23" spans="1:11" ht="42.75" customHeight="1">
      <c r="A23" s="370" t="s">
        <v>660</v>
      </c>
      <c r="B23" s="370"/>
      <c r="C23" s="370"/>
      <c r="D23" s="370"/>
      <c r="E23" s="370"/>
      <c r="F23" s="370"/>
      <c r="G23" s="370"/>
      <c r="H23" s="370"/>
      <c r="I23" s="370"/>
      <c r="J23" s="370"/>
      <c r="K23" s="370"/>
    </row>
    <row r="24" spans="1:11">
      <c r="A24" s="35"/>
    </row>
  </sheetData>
  <mergeCells count="13">
    <mergeCell ref="A23:K23"/>
    <mergeCell ref="J12:K12"/>
    <mergeCell ref="A22:D22"/>
    <mergeCell ref="A1:K1"/>
    <mergeCell ref="B2:C2"/>
    <mergeCell ref="D2:E2"/>
    <mergeCell ref="F2:G2"/>
    <mergeCell ref="H2:I2"/>
    <mergeCell ref="J2:K2"/>
    <mergeCell ref="B12:C12"/>
    <mergeCell ref="D12:E12"/>
    <mergeCell ref="F12:G12"/>
    <mergeCell ref="H12:I1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9"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18"/>
  <sheetViews>
    <sheetView showGridLines="0" showRuler="0" zoomScaleNormal="100" zoomScalePageLayoutView="125" workbookViewId="0">
      <pane xSplit="1" ySplit="3" topLeftCell="B4" activePane="bottomRight" state="frozen"/>
      <selection activeCell="F17" sqref="F17"/>
      <selection pane="topRight" activeCell="F17" sqref="F17"/>
      <selection pane="bottomLeft" activeCell="F17" sqref="F17"/>
      <selection pane="bottomRight" activeCell="O18" sqref="O18"/>
    </sheetView>
  </sheetViews>
  <sheetFormatPr defaultColWidth="9" defaultRowHeight="15.75"/>
  <cols>
    <col min="1" max="1" width="18.125" style="17" customWidth="1"/>
    <col min="2" max="9" width="9" style="17" customWidth="1"/>
    <col min="10" max="16384" width="9" style="17"/>
  </cols>
  <sheetData>
    <row r="1" spans="1:11" ht="24.75" customHeight="1">
      <c r="A1" s="297" t="s">
        <v>859</v>
      </c>
      <c r="B1" s="297"/>
      <c r="C1" s="297"/>
      <c r="D1" s="297"/>
      <c r="E1" s="297"/>
      <c r="F1" s="297"/>
      <c r="G1" s="297"/>
      <c r="H1" s="297"/>
      <c r="I1" s="297"/>
      <c r="J1" s="297"/>
      <c r="K1" s="297"/>
    </row>
    <row r="2" spans="1:11" ht="19.350000000000001" customHeight="1">
      <c r="A2" s="18"/>
      <c r="B2" s="302" t="s">
        <v>673</v>
      </c>
      <c r="C2" s="302"/>
      <c r="D2" s="302" t="s">
        <v>30</v>
      </c>
      <c r="E2" s="302"/>
      <c r="F2" s="302" t="s">
        <v>31</v>
      </c>
      <c r="G2" s="302"/>
      <c r="H2" s="302" t="s">
        <v>32</v>
      </c>
      <c r="I2" s="302"/>
      <c r="J2" s="302" t="s">
        <v>33</v>
      </c>
      <c r="K2" s="302"/>
    </row>
    <row r="3" spans="1:11" s="36" customFormat="1" ht="19.350000000000001" customHeight="1">
      <c r="A3" s="30"/>
      <c r="B3" s="115" t="s">
        <v>121</v>
      </c>
      <c r="C3" s="115" t="s">
        <v>4</v>
      </c>
      <c r="D3" s="115" t="s">
        <v>674</v>
      </c>
      <c r="E3" s="115" t="s">
        <v>675</v>
      </c>
      <c r="F3" s="115" t="s">
        <v>121</v>
      </c>
      <c r="G3" s="115" t="s">
        <v>4</v>
      </c>
      <c r="H3" s="115" t="s">
        <v>676</v>
      </c>
      <c r="I3" s="115" t="s">
        <v>4</v>
      </c>
      <c r="J3" s="115" t="s">
        <v>121</v>
      </c>
      <c r="K3" s="115" t="s">
        <v>4</v>
      </c>
    </row>
    <row r="4" spans="1:11" ht="19.350000000000001" customHeight="1">
      <c r="A4" s="46" t="s">
        <v>334</v>
      </c>
      <c r="B4" s="124">
        <v>2507</v>
      </c>
      <c r="C4" s="66">
        <f>SUM(C5:C9)</f>
        <v>100.00000000000001</v>
      </c>
      <c r="D4" s="124">
        <v>3302</v>
      </c>
      <c r="E4" s="66">
        <f>SUM(E5:E9)</f>
        <v>100.00000000000001</v>
      </c>
      <c r="F4" s="124">
        <v>2105</v>
      </c>
      <c r="G4" s="66">
        <f>SUM(G5:G9)</f>
        <v>99.999999999999986</v>
      </c>
      <c r="H4" s="124">
        <v>2076</v>
      </c>
      <c r="I4" s="66">
        <f>SUM(I5:I9)</f>
        <v>99.999999999999986</v>
      </c>
      <c r="J4" s="124">
        <v>1386</v>
      </c>
      <c r="K4" s="66">
        <f>SUM(K5:K9)</f>
        <v>100.00000000000001</v>
      </c>
    </row>
    <row r="5" spans="1:11" ht="19.350000000000001" customHeight="1">
      <c r="A5" s="46" t="s">
        <v>335</v>
      </c>
      <c r="B5" s="119">
        <v>2147</v>
      </c>
      <c r="C5" s="66">
        <f>IFERROR(B5/B$4*100,"-")</f>
        <v>85.640207419226172</v>
      </c>
      <c r="D5" s="119">
        <v>2838</v>
      </c>
      <c r="E5" s="66">
        <f>IFERROR(D5/D$4*100,"-")</f>
        <v>85.947910357359177</v>
      </c>
      <c r="F5" s="119">
        <v>1782</v>
      </c>
      <c r="G5" s="66">
        <f>IFERROR(F5/F$4*100,"-")</f>
        <v>84.655581947743457</v>
      </c>
      <c r="H5" s="119">
        <v>1796</v>
      </c>
      <c r="I5" s="66">
        <f>IFERROR(H5/H$4*100,"-")</f>
        <v>86.51252408477842</v>
      </c>
      <c r="J5" s="119">
        <v>1220</v>
      </c>
      <c r="K5" s="66">
        <f>IFERROR(J5/J$4*100,"-")</f>
        <v>88.023088023088022</v>
      </c>
    </row>
    <row r="6" spans="1:11" ht="19.350000000000001" customHeight="1">
      <c r="A6" s="46" t="s">
        <v>336</v>
      </c>
      <c r="B6" s="119">
        <v>215</v>
      </c>
      <c r="C6" s="66">
        <f t="shared" ref="C6:E9" si="0">IFERROR(B6/B$4*100,"-")</f>
        <v>8.5759872357399285</v>
      </c>
      <c r="D6" s="119">
        <v>280</v>
      </c>
      <c r="E6" s="66">
        <f t="shared" si="0"/>
        <v>8.4797092671108416</v>
      </c>
      <c r="F6" s="119">
        <v>215</v>
      </c>
      <c r="G6" s="66">
        <f t="shared" ref="G6:G9" si="1">IFERROR(F6/F$4*100,"-")</f>
        <v>10.213776722090261</v>
      </c>
      <c r="H6" s="119">
        <v>190</v>
      </c>
      <c r="I6" s="66">
        <f t="shared" ref="I6:I9" si="2">IFERROR(H6/H$4*100,"-")</f>
        <v>9.1522157996146429</v>
      </c>
      <c r="J6" s="119">
        <v>109</v>
      </c>
      <c r="K6" s="66">
        <f t="shared" ref="K6:K9" si="3">IFERROR(J6/J$4*100,"-")</f>
        <v>7.8643578643578644</v>
      </c>
    </row>
    <row r="7" spans="1:11" ht="19.350000000000001" customHeight="1">
      <c r="A7" s="46" t="s">
        <v>264</v>
      </c>
      <c r="B7" s="119">
        <v>48</v>
      </c>
      <c r="C7" s="66">
        <f t="shared" si="0"/>
        <v>1.9146390107698443</v>
      </c>
      <c r="D7" s="119">
        <v>83</v>
      </c>
      <c r="E7" s="66">
        <f t="shared" si="0"/>
        <v>2.5136281041792854</v>
      </c>
      <c r="F7" s="119">
        <v>28</v>
      </c>
      <c r="G7" s="66">
        <f t="shared" si="1"/>
        <v>1.330166270783848</v>
      </c>
      <c r="H7" s="119">
        <v>22</v>
      </c>
      <c r="I7" s="66">
        <f t="shared" si="2"/>
        <v>1.0597302504816954</v>
      </c>
      <c r="J7" s="119">
        <v>18</v>
      </c>
      <c r="K7" s="66">
        <f t="shared" si="3"/>
        <v>1.2987012987012987</v>
      </c>
    </row>
    <row r="8" spans="1:11" ht="19.350000000000001" customHeight="1">
      <c r="A8" s="46" t="s">
        <v>337</v>
      </c>
      <c r="B8" s="119">
        <v>85</v>
      </c>
      <c r="C8" s="66">
        <f t="shared" si="0"/>
        <v>3.3905065815715991</v>
      </c>
      <c r="D8" s="119">
        <v>94</v>
      </c>
      <c r="E8" s="66">
        <f t="shared" si="0"/>
        <v>2.8467595396729255</v>
      </c>
      <c r="F8" s="119">
        <v>69</v>
      </c>
      <c r="G8" s="66">
        <f t="shared" si="1"/>
        <v>3.2779097387173399</v>
      </c>
      <c r="H8" s="119">
        <v>59</v>
      </c>
      <c r="I8" s="66">
        <f t="shared" si="2"/>
        <v>2.8420038535645471</v>
      </c>
      <c r="J8" s="119">
        <v>32</v>
      </c>
      <c r="K8" s="66">
        <f t="shared" si="3"/>
        <v>2.3088023088023086</v>
      </c>
    </row>
    <row r="9" spans="1:11" ht="19.350000000000001" customHeight="1" thickBot="1">
      <c r="A9" s="46" t="s">
        <v>338</v>
      </c>
      <c r="B9" s="119">
        <v>12</v>
      </c>
      <c r="C9" s="66">
        <f t="shared" si="0"/>
        <v>0.47865975269246108</v>
      </c>
      <c r="D9" s="119">
        <v>7</v>
      </c>
      <c r="E9" s="66">
        <f t="shared" si="0"/>
        <v>0.21199273167777105</v>
      </c>
      <c r="F9" s="119">
        <v>11</v>
      </c>
      <c r="G9" s="66">
        <f t="shared" si="1"/>
        <v>0.5225653206650831</v>
      </c>
      <c r="H9" s="121">
        <v>9</v>
      </c>
      <c r="I9" s="66">
        <f t="shared" si="2"/>
        <v>0.43352601156069359</v>
      </c>
      <c r="J9" s="121">
        <v>7</v>
      </c>
      <c r="K9" s="66">
        <f t="shared" si="3"/>
        <v>0.50505050505050508</v>
      </c>
    </row>
    <row r="10" spans="1:11" ht="19.350000000000001" customHeight="1">
      <c r="A10" s="38"/>
      <c r="B10" s="373" t="s">
        <v>677</v>
      </c>
      <c r="C10" s="373"/>
      <c r="D10" s="373" t="s">
        <v>35</v>
      </c>
      <c r="E10" s="373"/>
      <c r="F10" s="373" t="s">
        <v>36</v>
      </c>
      <c r="G10" s="373"/>
      <c r="H10" s="373" t="s">
        <v>37</v>
      </c>
      <c r="I10" s="373"/>
      <c r="J10" s="373" t="s">
        <v>567</v>
      </c>
      <c r="K10" s="373"/>
    </row>
    <row r="11" spans="1:11" s="36" customFormat="1" ht="19.350000000000001" customHeight="1">
      <c r="A11" s="30"/>
      <c r="B11" s="115" t="s">
        <v>121</v>
      </c>
      <c r="C11" s="115" t="s">
        <v>4</v>
      </c>
      <c r="D11" s="115" t="s">
        <v>678</v>
      </c>
      <c r="E11" s="115" t="s">
        <v>4</v>
      </c>
      <c r="F11" s="115" t="s">
        <v>121</v>
      </c>
      <c r="G11" s="115" t="s">
        <v>4</v>
      </c>
      <c r="H11" s="115" t="s">
        <v>121</v>
      </c>
      <c r="I11" s="115" t="s">
        <v>4</v>
      </c>
      <c r="J11" s="115" t="s">
        <v>121</v>
      </c>
      <c r="K11" s="115" t="s">
        <v>4</v>
      </c>
    </row>
    <row r="12" spans="1:11" ht="19.350000000000001" customHeight="1">
      <c r="A12" s="46" t="s">
        <v>233</v>
      </c>
      <c r="B12" s="124">
        <v>835</v>
      </c>
      <c r="C12" s="66">
        <f>SUM(C13:C17)</f>
        <v>99.999999999999986</v>
      </c>
      <c r="D12" s="124">
        <v>675</v>
      </c>
      <c r="E12" s="66">
        <f>SUM(E13:E17)</f>
        <v>100.00000000000001</v>
      </c>
      <c r="F12" s="124">
        <v>638</v>
      </c>
      <c r="G12" s="66">
        <f>SUM(G13:G17)</f>
        <v>100</v>
      </c>
      <c r="H12" s="76">
        <f>SUM(H13:H17)</f>
        <v>544</v>
      </c>
      <c r="I12" s="66">
        <f>SUM(I13:I17)</f>
        <v>100.00000000000001</v>
      </c>
      <c r="J12" s="76">
        <f>SUM(J13:J17)</f>
        <v>387</v>
      </c>
      <c r="K12" s="66">
        <f>SUM(K13:K17)</f>
        <v>99.999999999999986</v>
      </c>
    </row>
    <row r="13" spans="1:11" ht="19.350000000000001" customHeight="1">
      <c r="A13" s="46" t="s">
        <v>339</v>
      </c>
      <c r="B13" s="119">
        <v>733</v>
      </c>
      <c r="C13" s="66">
        <f>IFERROR(B13/B$12*100,"-")</f>
        <v>87.784431137724553</v>
      </c>
      <c r="D13" s="119">
        <v>590</v>
      </c>
      <c r="E13" s="66">
        <f>IFERROR(D13/D$12*100,"-")</f>
        <v>87.407407407407405</v>
      </c>
      <c r="F13" s="119">
        <v>547</v>
      </c>
      <c r="G13" s="66">
        <f>IFERROR(F13/F$12*100,"-")</f>
        <v>85.736677115987462</v>
      </c>
      <c r="H13" s="27">
        <f>386+88</f>
        <v>474</v>
      </c>
      <c r="I13" s="66">
        <f>IFERROR(H13/H$12*100,"-")</f>
        <v>87.132352941176478</v>
      </c>
      <c r="J13" s="27">
        <f>258+72</f>
        <v>330</v>
      </c>
      <c r="K13" s="66">
        <f>IFERROR(J13/J$12*100,"-")</f>
        <v>85.271317829457359</v>
      </c>
    </row>
    <row r="14" spans="1:11" ht="19.350000000000001" customHeight="1">
      <c r="A14" s="46" t="s">
        <v>180</v>
      </c>
      <c r="B14" s="119">
        <v>69</v>
      </c>
      <c r="C14" s="66">
        <f t="shared" ref="C14:E17" si="4">IFERROR(B14/B$12*100,"-")</f>
        <v>8.2634730538922163</v>
      </c>
      <c r="D14" s="119">
        <v>55</v>
      </c>
      <c r="E14" s="66">
        <f t="shared" si="4"/>
        <v>8.1481481481481488</v>
      </c>
      <c r="F14" s="119">
        <v>67</v>
      </c>
      <c r="G14" s="66">
        <f t="shared" ref="G14:G17" si="5">IFERROR(F14/F$12*100,"-")</f>
        <v>10.501567398119123</v>
      </c>
      <c r="H14" s="27">
        <f>32+12</f>
        <v>44</v>
      </c>
      <c r="I14" s="66">
        <f t="shared" ref="I14:I17" si="6">IFERROR(H14/H$12*100,"-")</f>
        <v>8.0882352941176467</v>
      </c>
      <c r="J14" s="27">
        <f>24+7</f>
        <v>31</v>
      </c>
      <c r="K14" s="66">
        <f t="shared" ref="K14:K17" si="7">IFERROR(J14/J$12*100,"-")</f>
        <v>8.0103359173126609</v>
      </c>
    </row>
    <row r="15" spans="1:11" ht="19.350000000000001" customHeight="1">
      <c r="A15" s="46" t="s">
        <v>264</v>
      </c>
      <c r="B15" s="119">
        <v>5</v>
      </c>
      <c r="C15" s="66">
        <f t="shared" si="4"/>
        <v>0.5988023952095809</v>
      </c>
      <c r="D15" s="119">
        <v>8</v>
      </c>
      <c r="E15" s="66">
        <f t="shared" si="4"/>
        <v>1.1851851851851851</v>
      </c>
      <c r="F15" s="119">
        <v>13</v>
      </c>
      <c r="G15" s="66">
        <f t="shared" si="5"/>
        <v>2.0376175548589339</v>
      </c>
      <c r="H15" s="27">
        <f>16+1</f>
        <v>17</v>
      </c>
      <c r="I15" s="66">
        <f t="shared" si="6"/>
        <v>3.125</v>
      </c>
      <c r="J15" s="27">
        <f>11+4</f>
        <v>15</v>
      </c>
      <c r="K15" s="66">
        <f t="shared" si="7"/>
        <v>3.8759689922480618</v>
      </c>
    </row>
    <row r="16" spans="1:11" ht="19.350000000000001" customHeight="1">
      <c r="A16" s="46" t="s">
        <v>340</v>
      </c>
      <c r="B16" s="119">
        <v>26</v>
      </c>
      <c r="C16" s="66">
        <f t="shared" si="4"/>
        <v>3.1137724550898205</v>
      </c>
      <c r="D16" s="119">
        <v>21</v>
      </c>
      <c r="E16" s="66">
        <f t="shared" si="4"/>
        <v>3.1111111111111112</v>
      </c>
      <c r="F16" s="119">
        <v>9</v>
      </c>
      <c r="G16" s="66">
        <f t="shared" si="5"/>
        <v>1.4106583072100314</v>
      </c>
      <c r="H16" s="27">
        <f>8+1</f>
        <v>9</v>
      </c>
      <c r="I16" s="66">
        <f t="shared" si="6"/>
        <v>1.6544117647058825</v>
      </c>
      <c r="J16" s="27">
        <f>8+2</f>
        <v>10</v>
      </c>
      <c r="K16" s="66">
        <f t="shared" si="7"/>
        <v>2.5839793281653747</v>
      </c>
    </row>
    <row r="17" spans="1:11" ht="19.350000000000001" customHeight="1">
      <c r="A17" s="113" t="s">
        <v>261</v>
      </c>
      <c r="B17" s="121">
        <v>2</v>
      </c>
      <c r="C17" s="66">
        <f t="shared" si="4"/>
        <v>0.23952095808383234</v>
      </c>
      <c r="D17" s="121">
        <v>1</v>
      </c>
      <c r="E17" s="66">
        <f t="shared" si="4"/>
        <v>0.14814814814814814</v>
      </c>
      <c r="F17" s="121">
        <v>2</v>
      </c>
      <c r="G17" s="66">
        <f t="shared" si="5"/>
        <v>0.31347962382445138</v>
      </c>
      <c r="H17" s="28" t="s">
        <v>679</v>
      </c>
      <c r="I17" s="279" t="str">
        <f t="shared" si="6"/>
        <v>-</v>
      </c>
      <c r="J17" s="28">
        <v>1</v>
      </c>
      <c r="K17" s="66">
        <f t="shared" si="7"/>
        <v>0.2583979328165375</v>
      </c>
    </row>
    <row r="18" spans="1:11" ht="48.75" customHeight="1">
      <c r="A18" s="402" t="s">
        <v>661</v>
      </c>
      <c r="B18" s="402"/>
      <c r="C18" s="402"/>
      <c r="D18" s="402"/>
      <c r="E18" s="402"/>
      <c r="F18" s="402"/>
      <c r="G18" s="402"/>
      <c r="H18" s="402"/>
      <c r="I18" s="402"/>
      <c r="J18" s="402"/>
      <c r="K18" s="402"/>
    </row>
  </sheetData>
  <mergeCells count="12">
    <mergeCell ref="A18:K18"/>
    <mergeCell ref="B10:C10"/>
    <mergeCell ref="D10:E10"/>
    <mergeCell ref="F10:G10"/>
    <mergeCell ref="H10:I10"/>
    <mergeCell ref="J10:K10"/>
    <mergeCell ref="A1:K1"/>
    <mergeCell ref="B2:C2"/>
    <mergeCell ref="D2:E2"/>
    <mergeCell ref="F2:G2"/>
    <mergeCell ref="H2:I2"/>
    <mergeCell ref="J2:K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79"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4"/>
  <sheetViews>
    <sheetView showGridLines="0" showRuler="0" zoomScaleNormal="100" zoomScalePageLayoutView="125" workbookViewId="0">
      <pane xSplit="1" ySplit="3" topLeftCell="B4" activePane="bottomRight" state="frozen"/>
      <selection activeCell="F17" sqref="F17"/>
      <selection pane="topRight" activeCell="F17" sqref="F17"/>
      <selection pane="bottomLeft" activeCell="F17" sqref="F17"/>
      <selection pane="bottomRight" activeCell="F17" sqref="F17"/>
    </sheetView>
  </sheetViews>
  <sheetFormatPr defaultColWidth="9" defaultRowHeight="15.75"/>
  <cols>
    <col min="1" max="1" width="15.875" style="17" customWidth="1"/>
    <col min="2" max="3" width="9" style="17"/>
    <col min="4" max="4" width="8.875" style="17" customWidth="1"/>
    <col min="5" max="7" width="9" style="17"/>
    <col min="8" max="8" width="10" style="17" bestFit="1" customWidth="1"/>
    <col min="9" max="9" width="10.125" style="17" customWidth="1"/>
    <col min="10" max="16384" width="9" style="17"/>
  </cols>
  <sheetData>
    <row r="1" spans="1:11" ht="24.75" customHeight="1">
      <c r="A1" s="297" t="s">
        <v>860</v>
      </c>
      <c r="B1" s="297"/>
      <c r="C1" s="297"/>
      <c r="D1" s="297"/>
      <c r="E1" s="297"/>
      <c r="F1" s="297"/>
      <c r="G1" s="297"/>
      <c r="H1" s="297"/>
      <c r="I1" s="297"/>
      <c r="J1" s="297"/>
      <c r="K1" s="297"/>
    </row>
    <row r="2" spans="1:11" ht="19.350000000000001" customHeight="1">
      <c r="A2" s="18"/>
      <c r="B2" s="302" t="s">
        <v>650</v>
      </c>
      <c r="C2" s="302"/>
      <c r="D2" s="302" t="s">
        <v>30</v>
      </c>
      <c r="E2" s="302"/>
      <c r="F2" s="302" t="s">
        <v>31</v>
      </c>
      <c r="G2" s="302"/>
      <c r="H2" s="302" t="s">
        <v>32</v>
      </c>
      <c r="I2" s="302"/>
      <c r="J2" s="302" t="s">
        <v>33</v>
      </c>
      <c r="K2" s="302"/>
    </row>
    <row r="3" spans="1:11" s="36" customFormat="1" ht="19.350000000000001" customHeight="1">
      <c r="A3" s="30"/>
      <c r="B3" s="115" t="s">
        <v>256</v>
      </c>
      <c r="C3" s="115" t="s">
        <v>241</v>
      </c>
      <c r="D3" s="115" t="s">
        <v>256</v>
      </c>
      <c r="E3" s="115" t="s">
        <v>144</v>
      </c>
      <c r="F3" s="115" t="s">
        <v>256</v>
      </c>
      <c r="G3" s="115" t="s">
        <v>241</v>
      </c>
      <c r="H3" s="115" t="s">
        <v>256</v>
      </c>
      <c r="I3" s="115" t="s">
        <v>5</v>
      </c>
      <c r="J3" s="115" t="s">
        <v>59</v>
      </c>
      <c r="K3" s="115" t="s">
        <v>5</v>
      </c>
    </row>
    <row r="4" spans="1:11" ht="19.350000000000001" customHeight="1">
      <c r="A4" s="46" t="s">
        <v>125</v>
      </c>
      <c r="B4" s="124">
        <v>2507</v>
      </c>
      <c r="C4" s="77">
        <f>SUM(C5:C11)</f>
        <v>100</v>
      </c>
      <c r="D4" s="124">
        <v>3302</v>
      </c>
      <c r="E4" s="77">
        <f>SUM(E5:E11)</f>
        <v>99.999999999999986</v>
      </c>
      <c r="F4" s="124">
        <v>2105</v>
      </c>
      <c r="G4" s="77">
        <f>SUM(G5:G11)</f>
        <v>99.999999999999986</v>
      </c>
      <c r="H4" s="124">
        <v>2076</v>
      </c>
      <c r="I4" s="77">
        <f>SUM(I5:I11)</f>
        <v>100.00000000000001</v>
      </c>
      <c r="J4" s="124">
        <v>1386</v>
      </c>
      <c r="K4" s="77">
        <f>SUM(K5:K11)</f>
        <v>99.999999999999972</v>
      </c>
    </row>
    <row r="5" spans="1:11" ht="19.350000000000001" customHeight="1">
      <c r="A5" s="46" t="s">
        <v>265</v>
      </c>
      <c r="B5" s="119">
        <v>929</v>
      </c>
      <c r="C5" s="66">
        <f>IFERROR(B5/B$4*100,"-")</f>
        <v>37.05624252094136</v>
      </c>
      <c r="D5" s="119">
        <v>1220</v>
      </c>
      <c r="E5" s="66">
        <f>IFERROR(D5/D$4*100,"-")</f>
        <v>36.9473046638401</v>
      </c>
      <c r="F5" s="119">
        <v>866</v>
      </c>
      <c r="G5" s="66">
        <f>IFERROR(F5/F$4*100,"-")</f>
        <v>41.140142517814724</v>
      </c>
      <c r="H5" s="119">
        <v>894</v>
      </c>
      <c r="I5" s="66">
        <f>IFERROR(H5/H$4*100,"-")</f>
        <v>43.063583815028899</v>
      </c>
      <c r="J5" s="119">
        <v>596</v>
      </c>
      <c r="K5" s="66">
        <f>IFERROR(J5/J$4*100,"-")</f>
        <v>43.001443001443</v>
      </c>
    </row>
    <row r="6" spans="1:11" ht="19.350000000000001" customHeight="1">
      <c r="A6" s="46" t="s">
        <v>266</v>
      </c>
      <c r="B6" s="119">
        <v>1016</v>
      </c>
      <c r="C6" s="66">
        <f t="shared" ref="C6:E11" si="0">IFERROR(B6/B$4*100,"-")</f>
        <v>40.526525727961712</v>
      </c>
      <c r="D6" s="119">
        <v>1361</v>
      </c>
      <c r="E6" s="66">
        <f t="shared" si="0"/>
        <v>41.217443973349482</v>
      </c>
      <c r="F6" s="119">
        <v>781</v>
      </c>
      <c r="G6" s="66">
        <f t="shared" ref="G6" si="1">IFERROR(F6/F$4*100,"-")</f>
        <v>37.102137767220903</v>
      </c>
      <c r="H6" s="119">
        <v>728</v>
      </c>
      <c r="I6" s="66">
        <f t="shared" ref="I6" si="2">IFERROR(H6/H$4*100,"-")</f>
        <v>35.067437379576106</v>
      </c>
      <c r="J6" s="119">
        <v>487</v>
      </c>
      <c r="K6" s="66">
        <f t="shared" ref="K6" si="3">IFERROR(J6/J$4*100,"-")</f>
        <v>35.137085137085137</v>
      </c>
    </row>
    <row r="7" spans="1:11" ht="19.350000000000001" customHeight="1">
      <c r="A7" s="46" t="s">
        <v>268</v>
      </c>
      <c r="B7" s="119">
        <v>145</v>
      </c>
      <c r="C7" s="66">
        <f t="shared" si="0"/>
        <v>5.7838053450339055</v>
      </c>
      <c r="D7" s="119">
        <v>198</v>
      </c>
      <c r="E7" s="66">
        <f t="shared" si="0"/>
        <v>5.9963658388855245</v>
      </c>
      <c r="F7" s="119">
        <v>110</v>
      </c>
      <c r="G7" s="66">
        <f t="shared" ref="G7" si="4">IFERROR(F7/F$4*100,"-")</f>
        <v>5.225653206650831</v>
      </c>
      <c r="H7" s="119">
        <v>129</v>
      </c>
      <c r="I7" s="66">
        <f t="shared" ref="I7" si="5">IFERROR(H7/H$4*100,"-")</f>
        <v>6.2138728323699421</v>
      </c>
      <c r="J7" s="119">
        <v>85</v>
      </c>
      <c r="K7" s="66">
        <f t="shared" ref="K7" si="6">IFERROR(J7/J$4*100,"-")</f>
        <v>6.1327561327561328</v>
      </c>
    </row>
    <row r="8" spans="1:11" ht="19.350000000000001" customHeight="1">
      <c r="A8" s="46" t="s">
        <v>267</v>
      </c>
      <c r="B8" s="119">
        <v>195</v>
      </c>
      <c r="C8" s="66">
        <f t="shared" si="0"/>
        <v>7.7782209812524927</v>
      </c>
      <c r="D8" s="119">
        <v>265</v>
      </c>
      <c r="E8" s="66">
        <f t="shared" si="0"/>
        <v>8.0254391278013326</v>
      </c>
      <c r="F8" s="119">
        <v>175</v>
      </c>
      <c r="G8" s="66">
        <f t="shared" ref="G8" si="7">IFERROR(F8/F$4*100,"-")</f>
        <v>8.31353919239905</v>
      </c>
      <c r="H8" s="119">
        <v>136</v>
      </c>
      <c r="I8" s="66">
        <f t="shared" ref="I8" si="8">IFERROR(H8/H$4*100,"-")</f>
        <v>6.5510597302504818</v>
      </c>
      <c r="J8" s="119">
        <v>92</v>
      </c>
      <c r="K8" s="66">
        <f t="shared" ref="K8" si="9">IFERROR(J8/J$4*100,"-")</f>
        <v>6.637806637806638</v>
      </c>
    </row>
    <row r="9" spans="1:11" ht="19.350000000000001" customHeight="1">
      <c r="A9" s="46" t="s">
        <v>341</v>
      </c>
      <c r="B9" s="119">
        <v>81</v>
      </c>
      <c r="C9" s="66">
        <f t="shared" si="0"/>
        <v>3.2309533306741125</v>
      </c>
      <c r="D9" s="119">
        <v>79</v>
      </c>
      <c r="E9" s="66">
        <f t="shared" si="0"/>
        <v>2.3924894003634161</v>
      </c>
      <c r="F9" s="119">
        <v>48</v>
      </c>
      <c r="G9" s="66">
        <f t="shared" ref="G9" si="10">IFERROR(F9/F$4*100,"-")</f>
        <v>2.2802850356294537</v>
      </c>
      <c r="H9" s="119">
        <v>53</v>
      </c>
      <c r="I9" s="66">
        <f t="shared" ref="I9" si="11">IFERROR(H9/H$4*100,"-")</f>
        <v>2.5529865125240847</v>
      </c>
      <c r="J9" s="119">
        <v>31</v>
      </c>
      <c r="K9" s="66">
        <f t="shared" ref="K9" si="12">IFERROR(J9/J$4*100,"-")</f>
        <v>2.2366522366522368</v>
      </c>
    </row>
    <row r="10" spans="1:11" ht="19.350000000000001" customHeight="1">
      <c r="A10" s="46" t="s">
        <v>270</v>
      </c>
      <c r="B10" s="119">
        <v>22</v>
      </c>
      <c r="C10" s="66">
        <f t="shared" si="0"/>
        <v>0.87754287993617863</v>
      </c>
      <c r="D10" s="119">
        <v>24</v>
      </c>
      <c r="E10" s="66">
        <f t="shared" si="0"/>
        <v>0.7268322228952151</v>
      </c>
      <c r="F10" s="119">
        <v>8</v>
      </c>
      <c r="G10" s="66">
        <f t="shared" ref="G10" si="13">IFERROR(F10/F$4*100,"-")</f>
        <v>0.38004750593824227</v>
      </c>
      <c r="H10" s="119">
        <v>19</v>
      </c>
      <c r="I10" s="66">
        <f t="shared" ref="I10" si="14">IFERROR(H10/H$4*100,"-")</f>
        <v>0.91522157996146436</v>
      </c>
      <c r="J10" s="119">
        <v>10</v>
      </c>
      <c r="K10" s="66">
        <f t="shared" ref="K10" si="15">IFERROR(J10/J$4*100,"-")</f>
        <v>0.72150072150072153</v>
      </c>
    </row>
    <row r="11" spans="1:11" ht="19.350000000000001" customHeight="1" thickBot="1">
      <c r="A11" s="180" t="s">
        <v>342</v>
      </c>
      <c r="B11" s="131">
        <v>119</v>
      </c>
      <c r="C11" s="79">
        <f t="shared" si="0"/>
        <v>4.7467092142002389</v>
      </c>
      <c r="D11" s="131">
        <v>155</v>
      </c>
      <c r="E11" s="79">
        <f t="shared" si="0"/>
        <v>4.6941247728649307</v>
      </c>
      <c r="F11" s="131">
        <v>117</v>
      </c>
      <c r="G11" s="79">
        <f t="shared" ref="G11" si="16">IFERROR(F11/F$4*100,"-")</f>
        <v>5.5581947743467932</v>
      </c>
      <c r="H11" s="131">
        <v>117</v>
      </c>
      <c r="I11" s="79">
        <f t="shared" ref="I11" si="17">IFERROR(H11/H$4*100,"-")</f>
        <v>5.6358381502890174</v>
      </c>
      <c r="J11" s="131">
        <v>85</v>
      </c>
      <c r="K11" s="79">
        <f t="shared" ref="K11" si="18">IFERROR(J11/J$4*100,"-")</f>
        <v>6.1327561327561328</v>
      </c>
    </row>
    <row r="12" spans="1:11" ht="19.350000000000001" customHeight="1">
      <c r="A12" s="30"/>
      <c r="B12" s="343" t="s">
        <v>34</v>
      </c>
      <c r="C12" s="343"/>
      <c r="D12" s="343" t="s">
        <v>35</v>
      </c>
      <c r="E12" s="343"/>
      <c r="F12" s="343" t="s">
        <v>36</v>
      </c>
      <c r="G12" s="343"/>
      <c r="H12" s="343" t="s">
        <v>37</v>
      </c>
      <c r="I12" s="343"/>
      <c r="J12" s="343" t="s">
        <v>567</v>
      </c>
      <c r="K12" s="343"/>
    </row>
    <row r="13" spans="1:11" s="36" customFormat="1" ht="19.350000000000001" customHeight="1">
      <c r="A13" s="30"/>
      <c r="B13" s="115" t="s">
        <v>121</v>
      </c>
      <c r="C13" s="115" t="s">
        <v>122</v>
      </c>
      <c r="D13" s="115" t="s">
        <v>121</v>
      </c>
      <c r="E13" s="115" t="s">
        <v>5</v>
      </c>
      <c r="F13" s="115" t="s">
        <v>121</v>
      </c>
      <c r="G13" s="115" t="s">
        <v>122</v>
      </c>
      <c r="H13" s="115" t="s">
        <v>121</v>
      </c>
      <c r="I13" s="115" t="s">
        <v>122</v>
      </c>
      <c r="J13" s="115" t="s">
        <v>121</v>
      </c>
      <c r="K13" s="115" t="s">
        <v>122</v>
      </c>
    </row>
    <row r="14" spans="1:11" ht="19.350000000000001" customHeight="1">
      <c r="A14" s="46" t="s">
        <v>125</v>
      </c>
      <c r="B14" s="124">
        <v>835</v>
      </c>
      <c r="C14" s="77">
        <f>SUM(C15:C21)</f>
        <v>99.999999999999986</v>
      </c>
      <c r="D14" s="124">
        <v>675</v>
      </c>
      <c r="E14" s="77">
        <f>SUM(E15:E21)</f>
        <v>100</v>
      </c>
      <c r="F14" s="124">
        <v>638</v>
      </c>
      <c r="G14" s="77">
        <f>SUM(G15:G21)</f>
        <v>99.999999999999986</v>
      </c>
      <c r="H14" s="76">
        <f>SUM(H15:H21)</f>
        <v>544</v>
      </c>
      <c r="I14" s="77">
        <f>SUM(I15:I21)</f>
        <v>100.00000000000001</v>
      </c>
      <c r="J14" s="76">
        <f>SUM(J15:J21)</f>
        <v>387</v>
      </c>
      <c r="K14" s="77">
        <f>SUM(K15:K21)</f>
        <v>100</v>
      </c>
    </row>
    <row r="15" spans="1:11" ht="19.350000000000001" customHeight="1">
      <c r="A15" s="46" t="s">
        <v>190</v>
      </c>
      <c r="B15" s="119">
        <v>381</v>
      </c>
      <c r="C15" s="66">
        <f>IFERROR(B15/B$14*100,"-")</f>
        <v>45.628742514970064</v>
      </c>
      <c r="D15" s="119">
        <v>312</v>
      </c>
      <c r="E15" s="66">
        <f>IFERROR(D15/D$14*100,"-")</f>
        <v>46.222222222222221</v>
      </c>
      <c r="F15" s="119">
        <v>281</v>
      </c>
      <c r="G15" s="66">
        <f>IFERROR(F15/F$14*100,"-")</f>
        <v>44.043887147335425</v>
      </c>
      <c r="H15" s="27">
        <f>211+53</f>
        <v>264</v>
      </c>
      <c r="I15" s="66">
        <f>IFERROR(H15/H$14*100,"-")</f>
        <v>48.529411764705884</v>
      </c>
      <c r="J15" s="27">
        <v>161</v>
      </c>
      <c r="K15" s="66">
        <f>IFERROR(J15/J$14*100,"-")</f>
        <v>41.60206718346253</v>
      </c>
    </row>
    <row r="16" spans="1:11" ht="19.350000000000001" customHeight="1">
      <c r="A16" s="46" t="s">
        <v>191</v>
      </c>
      <c r="B16" s="119">
        <v>272</v>
      </c>
      <c r="C16" s="66">
        <f t="shared" ref="C16:E21" si="19">IFERROR(B16/B$14*100,"-")</f>
        <v>32.574850299401199</v>
      </c>
      <c r="D16" s="119">
        <v>217</v>
      </c>
      <c r="E16" s="66">
        <f t="shared" si="19"/>
        <v>32.148148148148145</v>
      </c>
      <c r="F16" s="119">
        <v>210</v>
      </c>
      <c r="G16" s="66">
        <f t="shared" ref="G16" si="20">IFERROR(F16/F$14*100,"-")</f>
        <v>32.915360501567399</v>
      </c>
      <c r="H16" s="27">
        <f>147+23</f>
        <v>170</v>
      </c>
      <c r="I16" s="66">
        <f t="shared" ref="I16" si="21">IFERROR(H16/H$14*100,"-")</f>
        <v>31.25</v>
      </c>
      <c r="J16" s="27">
        <v>139</v>
      </c>
      <c r="K16" s="66">
        <f t="shared" ref="K16" si="22">IFERROR(J16/J$14*100,"-")</f>
        <v>35.917312661498705</v>
      </c>
    </row>
    <row r="17" spans="1:11" ht="19.350000000000001" customHeight="1">
      <c r="A17" s="46" t="s">
        <v>193</v>
      </c>
      <c r="B17" s="119">
        <v>55</v>
      </c>
      <c r="C17" s="66">
        <f t="shared" si="19"/>
        <v>6.5868263473053901</v>
      </c>
      <c r="D17" s="119">
        <v>39</v>
      </c>
      <c r="E17" s="66">
        <f t="shared" si="19"/>
        <v>5.7777777777777777</v>
      </c>
      <c r="F17" s="119">
        <v>37</v>
      </c>
      <c r="G17" s="66">
        <f t="shared" ref="G17" si="23">IFERROR(F17/F$14*100,"-")</f>
        <v>5.7993730407523509</v>
      </c>
      <c r="H17" s="27">
        <f>23+6</f>
        <v>29</v>
      </c>
      <c r="I17" s="66">
        <f t="shared" ref="I17" si="24">IFERROR(H17/H$14*100,"-")</f>
        <v>5.3308823529411766</v>
      </c>
      <c r="J17" s="27">
        <v>28</v>
      </c>
      <c r="K17" s="66">
        <f t="shared" ref="K17" si="25">IFERROR(J17/J$14*100,"-")</f>
        <v>7.2351421188630489</v>
      </c>
    </row>
    <row r="18" spans="1:11" ht="19.350000000000001" customHeight="1">
      <c r="A18" s="46" t="s">
        <v>192</v>
      </c>
      <c r="B18" s="119">
        <v>60</v>
      </c>
      <c r="C18" s="66">
        <f t="shared" si="19"/>
        <v>7.1856287425149699</v>
      </c>
      <c r="D18" s="119">
        <v>45</v>
      </c>
      <c r="E18" s="66">
        <f t="shared" si="19"/>
        <v>6.666666666666667</v>
      </c>
      <c r="F18" s="119">
        <v>52</v>
      </c>
      <c r="G18" s="66">
        <f t="shared" ref="G18" si="26">IFERROR(F18/F$14*100,"-")</f>
        <v>8.1504702194357357</v>
      </c>
      <c r="H18" s="27">
        <f>24+10</f>
        <v>34</v>
      </c>
      <c r="I18" s="66">
        <f t="shared" ref="I18" si="27">IFERROR(H18/H$14*100,"-")</f>
        <v>6.25</v>
      </c>
      <c r="J18" s="27">
        <v>26</v>
      </c>
      <c r="K18" s="66">
        <f t="shared" ref="K18" si="28">IFERROR(J18/J$14*100,"-")</f>
        <v>6.7183462532299743</v>
      </c>
    </row>
    <row r="19" spans="1:11" ht="19.350000000000001" customHeight="1">
      <c r="A19" s="46" t="s">
        <v>341</v>
      </c>
      <c r="B19" s="119">
        <v>16</v>
      </c>
      <c r="C19" s="66">
        <f t="shared" si="19"/>
        <v>1.9161676646706587</v>
      </c>
      <c r="D19" s="119">
        <v>18</v>
      </c>
      <c r="E19" s="66">
        <f t="shared" si="19"/>
        <v>2.666666666666667</v>
      </c>
      <c r="F19" s="119">
        <v>19</v>
      </c>
      <c r="G19" s="66">
        <f t="shared" ref="G19" si="29">IFERROR(F19/F$14*100,"-")</f>
        <v>2.9780564263322882</v>
      </c>
      <c r="H19" s="27">
        <f>5+1</f>
        <v>6</v>
      </c>
      <c r="I19" s="66">
        <f t="shared" ref="I19" si="30">IFERROR(H19/H$14*100,"-")</f>
        <v>1.1029411764705883</v>
      </c>
      <c r="J19" s="27">
        <v>5</v>
      </c>
      <c r="K19" s="66">
        <f t="shared" ref="K19" si="31">IFERROR(J19/J$14*100,"-")</f>
        <v>1.2919896640826873</v>
      </c>
    </row>
    <row r="20" spans="1:11" ht="19.350000000000001" customHeight="1">
      <c r="A20" s="46" t="s">
        <v>195</v>
      </c>
      <c r="B20" s="119">
        <v>5</v>
      </c>
      <c r="C20" s="66">
        <f t="shared" si="19"/>
        <v>0.5988023952095809</v>
      </c>
      <c r="D20" s="119">
        <v>5</v>
      </c>
      <c r="E20" s="66">
        <f t="shared" si="19"/>
        <v>0.74074074074074081</v>
      </c>
      <c r="F20" s="119">
        <v>4</v>
      </c>
      <c r="G20" s="66">
        <f t="shared" ref="G20" si="32">IFERROR(F20/F$14*100,"-")</f>
        <v>0.62695924764890276</v>
      </c>
      <c r="H20" s="27">
        <f>2+0</f>
        <v>2</v>
      </c>
      <c r="I20" s="66">
        <f t="shared" ref="I20" si="33">IFERROR(H20/H$14*100,"-")</f>
        <v>0.36764705882352938</v>
      </c>
      <c r="J20" s="27">
        <v>3</v>
      </c>
      <c r="K20" s="66">
        <f t="shared" ref="K20" si="34">IFERROR(J20/J$14*100,"-")</f>
        <v>0.77519379844961245</v>
      </c>
    </row>
    <row r="21" spans="1:11" ht="19.350000000000001" customHeight="1">
      <c r="A21" s="113" t="s">
        <v>271</v>
      </c>
      <c r="B21" s="121">
        <v>46</v>
      </c>
      <c r="C21" s="66">
        <f t="shared" si="19"/>
        <v>5.5089820359281436</v>
      </c>
      <c r="D21" s="121">
        <v>39</v>
      </c>
      <c r="E21" s="66">
        <f t="shared" si="19"/>
        <v>5.7777777777777777</v>
      </c>
      <c r="F21" s="121">
        <v>35</v>
      </c>
      <c r="G21" s="66">
        <f t="shared" ref="G21" si="35">IFERROR(F21/F$14*100,"-")</f>
        <v>5.4858934169279001</v>
      </c>
      <c r="H21" s="28">
        <f>30+9</f>
        <v>39</v>
      </c>
      <c r="I21" s="66">
        <f t="shared" ref="I21" si="36">IFERROR(H21/H$14*100,"-")</f>
        <v>7.1691176470588234</v>
      </c>
      <c r="J21" s="28">
        <v>25</v>
      </c>
      <c r="K21" s="66">
        <f t="shared" ref="K21" si="37">IFERROR(J21/J$14*100,"-")</f>
        <v>6.459948320413436</v>
      </c>
    </row>
    <row r="22" spans="1:11" ht="46.5" customHeight="1">
      <c r="A22" s="402" t="s">
        <v>661</v>
      </c>
      <c r="B22" s="402"/>
      <c r="C22" s="402"/>
      <c r="D22" s="402"/>
      <c r="E22" s="402"/>
      <c r="F22" s="402"/>
      <c r="G22" s="402"/>
      <c r="H22" s="402"/>
      <c r="I22" s="402"/>
      <c r="J22" s="402"/>
      <c r="K22" s="402"/>
    </row>
    <row r="23" spans="1:11">
      <c r="A23" s="372"/>
      <c r="B23" s="354"/>
      <c r="C23" s="354"/>
      <c r="D23" s="354"/>
      <c r="E23" s="354"/>
      <c r="I23" s="60"/>
    </row>
    <row r="24" spans="1:11">
      <c r="A24" s="372"/>
      <c r="B24" s="354"/>
      <c r="C24" s="354"/>
      <c r="D24" s="354"/>
      <c r="E24" s="354"/>
    </row>
  </sheetData>
  <mergeCells count="14">
    <mergeCell ref="A23:E23"/>
    <mergeCell ref="A24:E24"/>
    <mergeCell ref="A22:K22"/>
    <mergeCell ref="B12:C12"/>
    <mergeCell ref="D12:E12"/>
    <mergeCell ref="F12:G12"/>
    <mergeCell ref="H12:I12"/>
    <mergeCell ref="J12:K12"/>
    <mergeCell ref="A1:K1"/>
    <mergeCell ref="B2:C2"/>
    <mergeCell ref="D2:E2"/>
    <mergeCell ref="F2:G2"/>
    <mergeCell ref="H2:I2"/>
    <mergeCell ref="J2:K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74"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I31"/>
  <sheetViews>
    <sheetView showGridLines="0" showRuler="0" zoomScaleNormal="100" zoomScalePageLayoutView="125" workbookViewId="0">
      <selection activeCell="F17" sqref="F17"/>
    </sheetView>
  </sheetViews>
  <sheetFormatPr defaultColWidth="9" defaultRowHeight="15.75"/>
  <cols>
    <col min="1" max="1" width="5" style="70" customWidth="1"/>
    <col min="2" max="2" width="6.375" style="70" customWidth="1"/>
    <col min="3" max="3" width="9" style="70"/>
    <col min="4" max="4" width="26.625" style="70" customWidth="1"/>
    <col min="5" max="7" width="13.375" style="70" customWidth="1"/>
    <col min="8" max="16384" width="9" style="70"/>
  </cols>
  <sheetData>
    <row r="1" spans="1:7" ht="27" customHeight="1">
      <c r="A1" s="297" t="s">
        <v>575</v>
      </c>
      <c r="B1" s="297"/>
      <c r="C1" s="297"/>
      <c r="D1" s="297"/>
      <c r="E1" s="297"/>
      <c r="F1" s="297"/>
      <c r="G1" s="297"/>
    </row>
    <row r="2" spans="1:7" ht="21" customHeight="1">
      <c r="A2" s="304"/>
      <c r="B2" s="305"/>
      <c r="C2" s="305"/>
      <c r="D2" s="305"/>
      <c r="E2" s="162" t="s">
        <v>511</v>
      </c>
      <c r="F2" s="163" t="s">
        <v>374</v>
      </c>
      <c r="G2" s="163" t="s">
        <v>373</v>
      </c>
    </row>
    <row r="3" spans="1:7" ht="15.75" customHeight="1">
      <c r="A3" s="323" t="s">
        <v>512</v>
      </c>
      <c r="B3" s="325" t="s">
        <v>513</v>
      </c>
      <c r="C3" s="325"/>
      <c r="D3" s="325"/>
      <c r="E3" s="4">
        <f>SUM(F3:G3)</f>
        <v>21292</v>
      </c>
      <c r="F3" s="4">
        <v>20534</v>
      </c>
      <c r="G3" s="164">
        <v>758</v>
      </c>
    </row>
    <row r="4" spans="1:7" ht="15.75" customHeight="1">
      <c r="A4" s="323"/>
      <c r="B4" s="165"/>
      <c r="C4" s="306" t="s">
        <v>514</v>
      </c>
      <c r="D4" s="306"/>
      <c r="E4" s="4">
        <f t="shared" ref="E4:E28" si="0">SUM(F4:G4)</f>
        <v>3995</v>
      </c>
      <c r="F4" s="4">
        <v>3854</v>
      </c>
      <c r="G4" s="164">
        <v>141</v>
      </c>
    </row>
    <row r="5" spans="1:7" ht="15.75" customHeight="1">
      <c r="A5" s="323"/>
      <c r="B5" s="165"/>
      <c r="C5" s="306" t="s">
        <v>515</v>
      </c>
      <c r="D5" s="306"/>
      <c r="E5" s="9">
        <f t="shared" si="0"/>
        <v>17297</v>
      </c>
      <c r="F5" s="9">
        <v>16680</v>
      </c>
      <c r="G5" s="166">
        <v>617</v>
      </c>
    </row>
    <row r="6" spans="1:7" ht="15.75" customHeight="1">
      <c r="A6" s="323"/>
      <c r="B6" s="326" t="s">
        <v>376</v>
      </c>
      <c r="C6" s="327"/>
      <c r="D6" s="327"/>
      <c r="E6" s="71">
        <f t="shared" si="0"/>
        <v>21292</v>
      </c>
      <c r="F6" s="71">
        <f>SUM(F7:F8)</f>
        <v>20534</v>
      </c>
      <c r="G6" s="71">
        <f>SUM(G7:G8)</f>
        <v>758</v>
      </c>
    </row>
    <row r="7" spans="1:7" ht="15.75" customHeight="1">
      <c r="A7" s="323"/>
      <c r="B7" s="165"/>
      <c r="C7" s="306" t="s">
        <v>516</v>
      </c>
      <c r="D7" s="306"/>
      <c r="E7" s="4">
        <f t="shared" si="0"/>
        <v>16156</v>
      </c>
      <c r="F7" s="4">
        <v>15554</v>
      </c>
      <c r="G7" s="164">
        <v>602</v>
      </c>
    </row>
    <row r="8" spans="1:7" ht="15.75" customHeight="1">
      <c r="A8" s="324"/>
      <c r="B8" s="167"/>
      <c r="C8" s="328" t="s">
        <v>517</v>
      </c>
      <c r="D8" s="328"/>
      <c r="E8" s="9">
        <f t="shared" si="0"/>
        <v>5136</v>
      </c>
      <c r="F8" s="9">
        <v>4980</v>
      </c>
      <c r="G8" s="9">
        <v>156</v>
      </c>
    </row>
    <row r="9" spans="1:7" ht="15.75" customHeight="1">
      <c r="A9" s="318" t="s">
        <v>385</v>
      </c>
      <c r="B9" s="320" t="s">
        <v>518</v>
      </c>
      <c r="C9" s="321"/>
      <c r="D9" s="321"/>
      <c r="E9" s="71">
        <f>SUM(E10:E12,E16,E24:E27)</f>
        <v>20966</v>
      </c>
      <c r="F9" s="71">
        <f>SUM(F10:F12,F16,F24:F27)</f>
        <v>20318</v>
      </c>
      <c r="G9" s="71">
        <f>SUM(G10:G12,G16,G24:G27)</f>
        <v>648</v>
      </c>
    </row>
    <row r="10" spans="1:7" ht="15.75" customHeight="1">
      <c r="A10" s="319"/>
      <c r="B10" s="309" t="s">
        <v>519</v>
      </c>
      <c r="C10" s="309"/>
      <c r="D10" s="309"/>
      <c r="E10" s="4">
        <f t="shared" si="0"/>
        <v>3009</v>
      </c>
      <c r="F10" s="4">
        <v>2964</v>
      </c>
      <c r="G10" s="4">
        <v>45</v>
      </c>
    </row>
    <row r="11" spans="1:7" ht="15.75" customHeight="1">
      <c r="A11" s="319"/>
      <c r="B11" s="308" t="s">
        <v>377</v>
      </c>
      <c r="C11" s="309"/>
      <c r="D11" s="309"/>
      <c r="E11" s="4"/>
      <c r="F11" s="4"/>
      <c r="G11" s="4"/>
    </row>
    <row r="12" spans="1:7" ht="15.75" customHeight="1">
      <c r="A12" s="319"/>
      <c r="B12" s="311" t="s">
        <v>378</v>
      </c>
      <c r="C12" s="310"/>
      <c r="D12" s="310"/>
      <c r="E12" s="4">
        <f t="shared" si="0"/>
        <v>418</v>
      </c>
      <c r="F12" s="4">
        <v>418</v>
      </c>
      <c r="G12" s="4" t="s">
        <v>16</v>
      </c>
    </row>
    <row r="13" spans="1:7" ht="15.75" customHeight="1">
      <c r="A13" s="319"/>
      <c r="B13" s="310" t="s">
        <v>520</v>
      </c>
      <c r="C13" s="310"/>
      <c r="D13" s="310"/>
      <c r="E13" s="4">
        <f t="shared" si="0"/>
        <v>330</v>
      </c>
      <c r="F13" s="4">
        <v>330</v>
      </c>
      <c r="G13" s="4" t="s">
        <v>19</v>
      </c>
    </row>
    <row r="14" spans="1:7" ht="15.75" customHeight="1">
      <c r="A14" s="319"/>
      <c r="B14" s="310" t="s">
        <v>521</v>
      </c>
      <c r="C14" s="310"/>
      <c r="D14" s="310"/>
      <c r="E14" s="4">
        <f t="shared" si="0"/>
        <v>71</v>
      </c>
      <c r="F14" s="4">
        <v>71</v>
      </c>
      <c r="G14" s="4" t="s">
        <v>19</v>
      </c>
    </row>
    <row r="15" spans="1:7" ht="15.75" customHeight="1">
      <c r="A15" s="319"/>
      <c r="B15" s="310" t="s">
        <v>522</v>
      </c>
      <c r="C15" s="310"/>
      <c r="D15" s="310"/>
      <c r="E15" s="4">
        <f t="shared" si="0"/>
        <v>17</v>
      </c>
      <c r="F15" s="4">
        <v>17</v>
      </c>
      <c r="G15" s="4" t="s">
        <v>19</v>
      </c>
    </row>
    <row r="16" spans="1:7" ht="15.75" customHeight="1">
      <c r="A16" s="319"/>
      <c r="B16" s="312" t="s">
        <v>379</v>
      </c>
      <c r="C16" s="309"/>
      <c r="D16" s="309"/>
      <c r="E16" s="4">
        <f>SUM(E17:E19)</f>
        <v>5913</v>
      </c>
      <c r="F16" s="4">
        <v>5756</v>
      </c>
      <c r="G16" s="4">
        <v>157</v>
      </c>
    </row>
    <row r="17" spans="1:9" ht="15.75" customHeight="1">
      <c r="A17" s="319"/>
      <c r="B17" s="308" t="s">
        <v>380</v>
      </c>
      <c r="C17" s="309"/>
      <c r="D17" s="309"/>
      <c r="E17" s="4">
        <f t="shared" si="0"/>
        <v>3577</v>
      </c>
      <c r="F17" s="4">
        <v>3442</v>
      </c>
      <c r="G17" s="4">
        <v>135</v>
      </c>
    </row>
    <row r="18" spans="1:9" ht="15.75" customHeight="1">
      <c r="A18" s="319"/>
      <c r="B18" s="317" t="s">
        <v>523</v>
      </c>
      <c r="C18" s="309"/>
      <c r="D18" s="309"/>
      <c r="E18" s="4"/>
      <c r="F18" s="4"/>
      <c r="G18" s="4"/>
    </row>
    <row r="19" spans="1:9" ht="15.75" customHeight="1">
      <c r="A19" s="319"/>
      <c r="B19" s="306" t="s">
        <v>524</v>
      </c>
      <c r="C19" s="306"/>
      <c r="D19" s="306"/>
      <c r="E19" s="4">
        <f>SUM(E20:E23)</f>
        <v>2336</v>
      </c>
      <c r="F19" s="4">
        <v>2314</v>
      </c>
      <c r="G19" s="4">
        <v>22</v>
      </c>
    </row>
    <row r="20" spans="1:9" ht="15.75" customHeight="1">
      <c r="A20" s="319"/>
      <c r="B20" s="306" t="s">
        <v>525</v>
      </c>
      <c r="C20" s="306"/>
      <c r="D20" s="306"/>
      <c r="E20" s="4">
        <f t="shared" si="0"/>
        <v>106</v>
      </c>
      <c r="F20" s="4">
        <v>104</v>
      </c>
      <c r="G20" s="4">
        <v>2</v>
      </c>
    </row>
    <row r="21" spans="1:9" ht="15.75" customHeight="1">
      <c r="A21" s="319"/>
      <c r="B21" s="306" t="s">
        <v>526</v>
      </c>
      <c r="C21" s="306"/>
      <c r="D21" s="306"/>
      <c r="E21" s="4">
        <f t="shared" si="0"/>
        <v>1435</v>
      </c>
      <c r="F21" s="4">
        <v>1426</v>
      </c>
      <c r="G21" s="4">
        <v>9</v>
      </c>
    </row>
    <row r="22" spans="1:9" ht="15.75" customHeight="1">
      <c r="A22" s="319"/>
      <c r="B22" s="306" t="s">
        <v>569</v>
      </c>
      <c r="C22" s="306"/>
      <c r="D22" s="306"/>
      <c r="E22" s="4">
        <f t="shared" si="0"/>
        <v>794</v>
      </c>
      <c r="F22" s="4">
        <v>783</v>
      </c>
      <c r="G22" s="4">
        <v>11</v>
      </c>
    </row>
    <row r="23" spans="1:9" ht="15.75" customHeight="1">
      <c r="A23" s="319"/>
      <c r="B23" s="322" t="s">
        <v>570</v>
      </c>
      <c r="C23" s="322"/>
      <c r="D23" s="322"/>
      <c r="E23" s="4">
        <v>1</v>
      </c>
      <c r="F23" s="4">
        <v>1</v>
      </c>
      <c r="G23" s="4" t="s">
        <v>571</v>
      </c>
    </row>
    <row r="24" spans="1:9" ht="15.75" customHeight="1">
      <c r="A24" s="319"/>
      <c r="B24" s="313" t="s">
        <v>381</v>
      </c>
      <c r="C24" s="314"/>
      <c r="D24" s="314"/>
      <c r="E24" s="4">
        <f>SUM(F24:G24)</f>
        <v>11197</v>
      </c>
      <c r="F24" s="4">
        <v>10766</v>
      </c>
      <c r="G24" s="4">
        <v>431</v>
      </c>
    </row>
    <row r="25" spans="1:9" ht="15.75" customHeight="1">
      <c r="A25" s="319"/>
      <c r="B25" s="313" t="s">
        <v>382</v>
      </c>
      <c r="C25" s="314"/>
      <c r="D25" s="314"/>
      <c r="E25" s="4">
        <f t="shared" si="0"/>
        <v>87</v>
      </c>
      <c r="F25" s="4">
        <v>80</v>
      </c>
      <c r="G25" s="4">
        <v>7</v>
      </c>
    </row>
    <row r="26" spans="1:9" ht="15.75" customHeight="1">
      <c r="A26" s="319"/>
      <c r="B26" s="313" t="s">
        <v>383</v>
      </c>
      <c r="C26" s="314"/>
      <c r="D26" s="314"/>
      <c r="E26" s="4">
        <f t="shared" si="0"/>
        <v>313</v>
      </c>
      <c r="F26" s="4">
        <v>306</v>
      </c>
      <c r="G26" s="4">
        <v>7</v>
      </c>
    </row>
    <row r="27" spans="1:9" ht="15.75" customHeight="1">
      <c r="A27" s="319"/>
      <c r="B27" s="313" t="s">
        <v>384</v>
      </c>
      <c r="C27" s="314"/>
      <c r="D27" s="314"/>
      <c r="E27" s="4">
        <f t="shared" si="0"/>
        <v>29</v>
      </c>
      <c r="F27" s="4">
        <v>28</v>
      </c>
      <c r="G27" s="4">
        <v>1</v>
      </c>
    </row>
    <row r="28" spans="1:9" ht="15.75" customHeight="1">
      <c r="A28" s="315" t="s">
        <v>527</v>
      </c>
      <c r="B28" s="315"/>
      <c r="C28" s="315"/>
      <c r="D28" s="315"/>
      <c r="E28" s="168">
        <f t="shared" si="0"/>
        <v>0</v>
      </c>
      <c r="F28" s="168" t="s">
        <v>572</v>
      </c>
      <c r="G28" s="168" t="s">
        <v>19</v>
      </c>
      <c r="I28" s="169"/>
    </row>
    <row r="29" spans="1:9">
      <c r="A29" s="316" t="s">
        <v>510</v>
      </c>
      <c r="B29" s="305"/>
      <c r="C29" s="305"/>
      <c r="D29" s="305"/>
      <c r="E29" s="161"/>
      <c r="F29" s="161"/>
    </row>
    <row r="30" spans="1:9">
      <c r="A30" s="307" t="s">
        <v>386</v>
      </c>
      <c r="B30" s="296"/>
      <c r="C30" s="296"/>
      <c r="D30" s="296"/>
      <c r="E30" s="296"/>
      <c r="F30" s="170"/>
    </row>
    <row r="31" spans="1:9">
      <c r="D31" s="170"/>
      <c r="E31" s="170"/>
      <c r="F31" s="170"/>
    </row>
  </sheetData>
  <mergeCells count="32">
    <mergeCell ref="A3:A8"/>
    <mergeCell ref="B3:D3"/>
    <mergeCell ref="B6:D6"/>
    <mergeCell ref="C7:D7"/>
    <mergeCell ref="C8:D8"/>
    <mergeCell ref="A29:D29"/>
    <mergeCell ref="B18:D18"/>
    <mergeCell ref="B17:D17"/>
    <mergeCell ref="B22:D22"/>
    <mergeCell ref="B21:D21"/>
    <mergeCell ref="B20:D20"/>
    <mergeCell ref="B19:D19"/>
    <mergeCell ref="A9:A27"/>
    <mergeCell ref="B9:D9"/>
    <mergeCell ref="B10:D10"/>
    <mergeCell ref="B23:D23"/>
    <mergeCell ref="A1:G1"/>
    <mergeCell ref="A2:D2"/>
    <mergeCell ref="C4:D4"/>
    <mergeCell ref="C5:D5"/>
    <mergeCell ref="A30:E30"/>
    <mergeCell ref="B11:D11"/>
    <mergeCell ref="B15:D15"/>
    <mergeCell ref="B14:D14"/>
    <mergeCell ref="B13:D13"/>
    <mergeCell ref="B12:D12"/>
    <mergeCell ref="B16:D16"/>
    <mergeCell ref="B24:D24"/>
    <mergeCell ref="B25:D25"/>
    <mergeCell ref="B26:D26"/>
    <mergeCell ref="B27:D27"/>
    <mergeCell ref="A28:D28"/>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9"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H32"/>
  <sheetViews>
    <sheetView showGridLines="0" zoomScale="78" zoomScaleNormal="85" workbookViewId="0">
      <selection activeCell="F17" sqref="F17"/>
    </sheetView>
  </sheetViews>
  <sheetFormatPr defaultColWidth="8.875" defaultRowHeight="15.75"/>
  <cols>
    <col min="1" max="1" width="5.875" style="81" customWidth="1"/>
    <col min="2" max="2" width="3.625" style="81" bestFit="1" customWidth="1"/>
    <col min="3" max="3" width="6.375" style="81" customWidth="1"/>
    <col min="4" max="8" width="20.625" style="81" customWidth="1"/>
    <col min="9" max="257" width="9" style="81"/>
    <col min="258" max="258" width="13" style="81" customWidth="1"/>
    <col min="259" max="259" width="6.375" style="81" customWidth="1"/>
    <col min="260" max="264" width="20.625" style="81" customWidth="1"/>
    <col min="265" max="513" width="9" style="81"/>
    <col min="514" max="514" width="13" style="81" customWidth="1"/>
    <col min="515" max="515" width="6.375" style="81" customWidth="1"/>
    <col min="516" max="520" width="20.625" style="81" customWidth="1"/>
    <col min="521" max="769" width="9" style="81"/>
    <col min="770" max="770" width="13" style="81" customWidth="1"/>
    <col min="771" max="771" width="6.375" style="81" customWidth="1"/>
    <col min="772" max="776" width="20.625" style="81" customWidth="1"/>
    <col min="777" max="1025" width="9" style="81"/>
    <col min="1026" max="1026" width="13" style="81" customWidth="1"/>
    <col min="1027" max="1027" width="6.375" style="81" customWidth="1"/>
    <col min="1028" max="1032" width="20.625" style="81" customWidth="1"/>
    <col min="1033" max="1281" width="9" style="81"/>
    <col min="1282" max="1282" width="13" style="81" customWidth="1"/>
    <col min="1283" max="1283" width="6.375" style="81" customWidth="1"/>
    <col min="1284" max="1288" width="20.625" style="81" customWidth="1"/>
    <col min="1289" max="1537" width="9" style="81"/>
    <col min="1538" max="1538" width="13" style="81" customWidth="1"/>
    <col min="1539" max="1539" width="6.375" style="81" customWidth="1"/>
    <col min="1540" max="1544" width="20.625" style="81" customWidth="1"/>
    <col min="1545" max="1793" width="9" style="81"/>
    <col min="1794" max="1794" width="13" style="81" customWidth="1"/>
    <col min="1795" max="1795" width="6.375" style="81" customWidth="1"/>
    <col min="1796" max="1800" width="20.625" style="81" customWidth="1"/>
    <col min="1801" max="2049" width="9" style="81"/>
    <col min="2050" max="2050" width="13" style="81" customWidth="1"/>
    <col min="2051" max="2051" width="6.375" style="81" customWidth="1"/>
    <col min="2052" max="2056" width="20.625" style="81" customWidth="1"/>
    <col min="2057" max="2305" width="9" style="81"/>
    <col min="2306" max="2306" width="13" style="81" customWidth="1"/>
    <col min="2307" max="2307" width="6.375" style="81" customWidth="1"/>
    <col min="2308" max="2312" width="20.625" style="81" customWidth="1"/>
    <col min="2313" max="2561" width="9" style="81"/>
    <col min="2562" max="2562" width="13" style="81" customWidth="1"/>
    <col min="2563" max="2563" width="6.375" style="81" customWidth="1"/>
    <col min="2564" max="2568" width="20.625" style="81" customWidth="1"/>
    <col min="2569" max="2817" width="9" style="81"/>
    <col min="2818" max="2818" width="13" style="81" customWidth="1"/>
    <col min="2819" max="2819" width="6.375" style="81" customWidth="1"/>
    <col min="2820" max="2824" width="20.625" style="81" customWidth="1"/>
    <col min="2825" max="3073" width="9" style="81"/>
    <col min="3074" max="3074" width="13" style="81" customWidth="1"/>
    <col min="3075" max="3075" width="6.375" style="81" customWidth="1"/>
    <col min="3076" max="3080" width="20.625" style="81" customWidth="1"/>
    <col min="3081" max="3329" width="9" style="81"/>
    <col min="3330" max="3330" width="13" style="81" customWidth="1"/>
    <col min="3331" max="3331" width="6.375" style="81" customWidth="1"/>
    <col min="3332" max="3336" width="20.625" style="81" customWidth="1"/>
    <col min="3337" max="3585" width="9" style="81"/>
    <col min="3586" max="3586" width="13" style="81" customWidth="1"/>
    <col min="3587" max="3587" width="6.375" style="81" customWidth="1"/>
    <col min="3588" max="3592" width="20.625" style="81" customWidth="1"/>
    <col min="3593" max="3841" width="9" style="81"/>
    <col min="3842" max="3842" width="13" style="81" customWidth="1"/>
    <col min="3843" max="3843" width="6.375" style="81" customWidth="1"/>
    <col min="3844" max="3848" width="20.625" style="81" customWidth="1"/>
    <col min="3849" max="4097" width="9" style="81"/>
    <col min="4098" max="4098" width="13" style="81" customWidth="1"/>
    <col min="4099" max="4099" width="6.375" style="81" customWidth="1"/>
    <col min="4100" max="4104" width="20.625" style="81" customWidth="1"/>
    <col min="4105" max="4353" width="9" style="81"/>
    <col min="4354" max="4354" width="13" style="81" customWidth="1"/>
    <col min="4355" max="4355" width="6.375" style="81" customWidth="1"/>
    <col min="4356" max="4360" width="20.625" style="81" customWidth="1"/>
    <col min="4361" max="4609" width="9" style="81"/>
    <col min="4610" max="4610" width="13" style="81" customWidth="1"/>
    <col min="4611" max="4611" width="6.375" style="81" customWidth="1"/>
    <col min="4612" max="4616" width="20.625" style="81" customWidth="1"/>
    <col min="4617" max="4865" width="9" style="81"/>
    <col min="4866" max="4866" width="13" style="81" customWidth="1"/>
    <col min="4867" max="4867" width="6.375" style="81" customWidth="1"/>
    <col min="4868" max="4872" width="20.625" style="81" customWidth="1"/>
    <col min="4873" max="5121" width="9" style="81"/>
    <col min="5122" max="5122" width="13" style="81" customWidth="1"/>
    <col min="5123" max="5123" width="6.375" style="81" customWidth="1"/>
    <col min="5124" max="5128" width="20.625" style="81" customWidth="1"/>
    <col min="5129" max="5377" width="9" style="81"/>
    <col min="5378" max="5378" width="13" style="81" customWidth="1"/>
    <col min="5379" max="5379" width="6.375" style="81" customWidth="1"/>
    <col min="5380" max="5384" width="20.625" style="81" customWidth="1"/>
    <col min="5385" max="5633" width="9" style="81"/>
    <col min="5634" max="5634" width="13" style="81" customWidth="1"/>
    <col min="5635" max="5635" width="6.375" style="81" customWidth="1"/>
    <col min="5636" max="5640" width="20.625" style="81" customWidth="1"/>
    <col min="5641" max="5889" width="9" style="81"/>
    <col min="5890" max="5890" width="13" style="81" customWidth="1"/>
    <col min="5891" max="5891" width="6.375" style="81" customWidth="1"/>
    <col min="5892" max="5896" width="20.625" style="81" customWidth="1"/>
    <col min="5897" max="6145" width="9" style="81"/>
    <col min="6146" max="6146" width="13" style="81" customWidth="1"/>
    <col min="6147" max="6147" width="6.375" style="81" customWidth="1"/>
    <col min="6148" max="6152" width="20.625" style="81" customWidth="1"/>
    <col min="6153" max="6401" width="9" style="81"/>
    <col min="6402" max="6402" width="13" style="81" customWidth="1"/>
    <col min="6403" max="6403" width="6.375" style="81" customWidth="1"/>
    <col min="6404" max="6408" width="20.625" style="81" customWidth="1"/>
    <col min="6409" max="6657" width="9" style="81"/>
    <col min="6658" max="6658" width="13" style="81" customWidth="1"/>
    <col min="6659" max="6659" width="6.375" style="81" customWidth="1"/>
    <col min="6660" max="6664" width="20.625" style="81" customWidth="1"/>
    <col min="6665" max="6913" width="9" style="81"/>
    <col min="6914" max="6914" width="13" style="81" customWidth="1"/>
    <col min="6915" max="6915" width="6.375" style="81" customWidth="1"/>
    <col min="6916" max="6920" width="20.625" style="81" customWidth="1"/>
    <col min="6921" max="7169" width="9" style="81"/>
    <col min="7170" max="7170" width="13" style="81" customWidth="1"/>
    <col min="7171" max="7171" width="6.375" style="81" customWidth="1"/>
    <col min="7172" max="7176" width="20.625" style="81" customWidth="1"/>
    <col min="7177" max="7425" width="9" style="81"/>
    <col min="7426" max="7426" width="13" style="81" customWidth="1"/>
    <col min="7427" max="7427" width="6.375" style="81" customWidth="1"/>
    <col min="7428" max="7432" width="20.625" style="81" customWidth="1"/>
    <col min="7433" max="7681" width="9" style="81"/>
    <col min="7682" max="7682" width="13" style="81" customWidth="1"/>
    <col min="7683" max="7683" width="6.375" style="81" customWidth="1"/>
    <col min="7684" max="7688" width="20.625" style="81" customWidth="1"/>
    <col min="7689" max="7937" width="9" style="81"/>
    <col min="7938" max="7938" width="13" style="81" customWidth="1"/>
    <col min="7939" max="7939" width="6.375" style="81" customWidth="1"/>
    <col min="7940" max="7944" width="20.625" style="81" customWidth="1"/>
    <col min="7945" max="8193" width="9" style="81"/>
    <col min="8194" max="8194" width="13" style="81" customWidth="1"/>
    <col min="8195" max="8195" width="6.375" style="81" customWidth="1"/>
    <col min="8196" max="8200" width="20.625" style="81" customWidth="1"/>
    <col min="8201" max="8449" width="9" style="81"/>
    <col min="8450" max="8450" width="13" style="81" customWidth="1"/>
    <col min="8451" max="8451" width="6.375" style="81" customWidth="1"/>
    <col min="8452" max="8456" width="20.625" style="81" customWidth="1"/>
    <col min="8457" max="8705" width="9" style="81"/>
    <col min="8706" max="8706" width="13" style="81" customWidth="1"/>
    <col min="8707" max="8707" width="6.375" style="81" customWidth="1"/>
    <col min="8708" max="8712" width="20.625" style="81" customWidth="1"/>
    <col min="8713" max="8961" width="9" style="81"/>
    <col min="8962" max="8962" width="13" style="81" customWidth="1"/>
    <col min="8963" max="8963" width="6.375" style="81" customWidth="1"/>
    <col min="8964" max="8968" width="20.625" style="81" customWidth="1"/>
    <col min="8969" max="9217" width="9" style="81"/>
    <col min="9218" max="9218" width="13" style="81" customWidth="1"/>
    <col min="9219" max="9219" width="6.375" style="81" customWidth="1"/>
    <col min="9220" max="9224" width="20.625" style="81" customWidth="1"/>
    <col min="9225" max="9473" width="9" style="81"/>
    <col min="9474" max="9474" width="13" style="81" customWidth="1"/>
    <col min="9475" max="9475" width="6.375" style="81" customWidth="1"/>
    <col min="9476" max="9480" width="20.625" style="81" customWidth="1"/>
    <col min="9481" max="9729" width="9" style="81"/>
    <col min="9730" max="9730" width="13" style="81" customWidth="1"/>
    <col min="9731" max="9731" width="6.375" style="81" customWidth="1"/>
    <col min="9732" max="9736" width="20.625" style="81" customWidth="1"/>
    <col min="9737" max="9985" width="9" style="81"/>
    <col min="9986" max="9986" width="13" style="81" customWidth="1"/>
    <col min="9987" max="9987" width="6.375" style="81" customWidth="1"/>
    <col min="9988" max="9992" width="20.625" style="81" customWidth="1"/>
    <col min="9993" max="10241" width="9" style="81"/>
    <col min="10242" max="10242" width="13" style="81" customWidth="1"/>
    <col min="10243" max="10243" width="6.375" style="81" customWidth="1"/>
    <col min="10244" max="10248" width="20.625" style="81" customWidth="1"/>
    <col min="10249" max="10497" width="9" style="81"/>
    <col min="10498" max="10498" width="13" style="81" customWidth="1"/>
    <col min="10499" max="10499" width="6.375" style="81" customWidth="1"/>
    <col min="10500" max="10504" width="20.625" style="81" customWidth="1"/>
    <col min="10505" max="10753" width="9" style="81"/>
    <col min="10754" max="10754" width="13" style="81" customWidth="1"/>
    <col min="10755" max="10755" width="6.375" style="81" customWidth="1"/>
    <col min="10756" max="10760" width="20.625" style="81" customWidth="1"/>
    <col min="10761" max="11009" width="9" style="81"/>
    <col min="11010" max="11010" width="13" style="81" customWidth="1"/>
    <col min="11011" max="11011" width="6.375" style="81" customWidth="1"/>
    <col min="11012" max="11016" width="20.625" style="81" customWidth="1"/>
    <col min="11017" max="11265" width="9" style="81"/>
    <col min="11266" max="11266" width="13" style="81" customWidth="1"/>
    <col min="11267" max="11267" width="6.375" style="81" customWidth="1"/>
    <col min="11268" max="11272" width="20.625" style="81" customWidth="1"/>
    <col min="11273" max="11521" width="9" style="81"/>
    <col min="11522" max="11522" width="13" style="81" customWidth="1"/>
    <col min="11523" max="11523" width="6.375" style="81" customWidth="1"/>
    <col min="11524" max="11528" width="20.625" style="81" customWidth="1"/>
    <col min="11529" max="11777" width="9" style="81"/>
    <col min="11778" max="11778" width="13" style="81" customWidth="1"/>
    <col min="11779" max="11779" width="6.375" style="81" customWidth="1"/>
    <col min="11780" max="11784" width="20.625" style="81" customWidth="1"/>
    <col min="11785" max="12033" width="9" style="81"/>
    <col min="12034" max="12034" width="13" style="81" customWidth="1"/>
    <col min="12035" max="12035" width="6.375" style="81" customWidth="1"/>
    <col min="12036" max="12040" width="20.625" style="81" customWidth="1"/>
    <col min="12041" max="12289" width="9" style="81"/>
    <col min="12290" max="12290" width="13" style="81" customWidth="1"/>
    <col min="12291" max="12291" width="6.375" style="81" customWidth="1"/>
    <col min="12292" max="12296" width="20.625" style="81" customWidth="1"/>
    <col min="12297" max="12545" width="9" style="81"/>
    <col min="12546" max="12546" width="13" style="81" customWidth="1"/>
    <col min="12547" max="12547" width="6.375" style="81" customWidth="1"/>
    <col min="12548" max="12552" width="20.625" style="81" customWidth="1"/>
    <col min="12553" max="12801" width="9" style="81"/>
    <col min="12802" max="12802" width="13" style="81" customWidth="1"/>
    <col min="12803" max="12803" width="6.375" style="81" customWidth="1"/>
    <col min="12804" max="12808" width="20.625" style="81" customWidth="1"/>
    <col min="12809" max="13057" width="9" style="81"/>
    <col min="13058" max="13058" width="13" style="81" customWidth="1"/>
    <col min="13059" max="13059" width="6.375" style="81" customWidth="1"/>
    <col min="13060" max="13064" width="20.625" style="81" customWidth="1"/>
    <col min="13065" max="13313" width="9" style="81"/>
    <col min="13314" max="13314" width="13" style="81" customWidth="1"/>
    <col min="13315" max="13315" width="6.375" style="81" customWidth="1"/>
    <col min="13316" max="13320" width="20.625" style="81" customWidth="1"/>
    <col min="13321" max="13569" width="9" style="81"/>
    <col min="13570" max="13570" width="13" style="81" customWidth="1"/>
    <col min="13571" max="13571" width="6.375" style="81" customWidth="1"/>
    <col min="13572" max="13576" width="20.625" style="81" customWidth="1"/>
    <col min="13577" max="13825" width="9" style="81"/>
    <col min="13826" max="13826" width="13" style="81" customWidth="1"/>
    <col min="13827" max="13827" width="6.375" style="81" customWidth="1"/>
    <col min="13828" max="13832" width="20.625" style="81" customWidth="1"/>
    <col min="13833" max="14081" width="9" style="81"/>
    <col min="14082" max="14082" width="13" style="81" customWidth="1"/>
    <col min="14083" max="14083" width="6.375" style="81" customWidth="1"/>
    <col min="14084" max="14088" width="20.625" style="81" customWidth="1"/>
    <col min="14089" max="14337" width="9" style="81"/>
    <col min="14338" max="14338" width="13" style="81" customWidth="1"/>
    <col min="14339" max="14339" width="6.375" style="81" customWidth="1"/>
    <col min="14340" max="14344" width="20.625" style="81" customWidth="1"/>
    <col min="14345" max="14593" width="9" style="81"/>
    <col min="14594" max="14594" width="13" style="81" customWidth="1"/>
    <col min="14595" max="14595" width="6.375" style="81" customWidth="1"/>
    <col min="14596" max="14600" width="20.625" style="81" customWidth="1"/>
    <col min="14601" max="14849" width="9" style="81"/>
    <col min="14850" max="14850" width="13" style="81" customWidth="1"/>
    <col min="14851" max="14851" width="6.375" style="81" customWidth="1"/>
    <col min="14852" max="14856" width="20.625" style="81" customWidth="1"/>
    <col min="14857" max="15105" width="9" style="81"/>
    <col min="15106" max="15106" width="13" style="81" customWidth="1"/>
    <col min="15107" max="15107" width="6.375" style="81" customWidth="1"/>
    <col min="15108" max="15112" width="20.625" style="81" customWidth="1"/>
    <col min="15113" max="15361" width="9" style="81"/>
    <col min="15362" max="15362" width="13" style="81" customWidth="1"/>
    <col min="15363" max="15363" width="6.375" style="81" customWidth="1"/>
    <col min="15364" max="15368" width="20.625" style="81" customWidth="1"/>
    <col min="15369" max="15617" width="9" style="81"/>
    <col min="15618" max="15618" width="13" style="81" customWidth="1"/>
    <col min="15619" max="15619" width="6.375" style="81" customWidth="1"/>
    <col min="15620" max="15624" width="20.625" style="81" customWidth="1"/>
    <col min="15625" max="15873" width="9" style="81"/>
    <col min="15874" max="15874" width="13" style="81" customWidth="1"/>
    <col min="15875" max="15875" width="6.375" style="81" customWidth="1"/>
    <col min="15876" max="15880" width="20.625" style="81" customWidth="1"/>
    <col min="15881" max="16129" width="9" style="81"/>
    <col min="16130" max="16130" width="13" style="81" customWidth="1"/>
    <col min="16131" max="16131" width="6.375" style="81" customWidth="1"/>
    <col min="16132" max="16136" width="20.625" style="81" customWidth="1"/>
    <col min="16137" max="16384" width="9" style="81"/>
  </cols>
  <sheetData>
    <row r="1" spans="1:8" s="80" customFormat="1" ht="25.35" customHeight="1">
      <c r="A1" s="406" t="s">
        <v>662</v>
      </c>
      <c r="B1" s="406"/>
      <c r="C1" s="406"/>
      <c r="D1" s="406"/>
      <c r="E1" s="406"/>
      <c r="F1" s="406"/>
      <c r="G1" s="406"/>
      <c r="H1" s="406"/>
    </row>
    <row r="2" spans="1:8" ht="20.100000000000001" customHeight="1">
      <c r="A2" s="267"/>
      <c r="B2" s="411"/>
      <c r="C2" s="412"/>
      <c r="D2" s="190" t="s">
        <v>680</v>
      </c>
      <c r="E2" s="190" t="s">
        <v>35</v>
      </c>
      <c r="F2" s="190" t="s">
        <v>36</v>
      </c>
      <c r="G2" s="190" t="s">
        <v>37</v>
      </c>
      <c r="H2" s="190" t="s">
        <v>567</v>
      </c>
    </row>
    <row r="3" spans="1:8" ht="20.100000000000001" customHeight="1">
      <c r="A3" s="407" t="s">
        <v>375</v>
      </c>
      <c r="B3" s="413" t="s">
        <v>681</v>
      </c>
      <c r="C3" s="133" t="s">
        <v>344</v>
      </c>
      <c r="D3" s="192">
        <f>SUM(D5,D7)</f>
        <v>3079</v>
      </c>
      <c r="E3" s="192">
        <f t="shared" ref="E3:H4" si="0">SUM(E5,E7)</f>
        <v>2565</v>
      </c>
      <c r="F3" s="192">
        <f t="shared" si="0"/>
        <v>2502</v>
      </c>
      <c r="G3" s="192">
        <f t="shared" si="0"/>
        <v>2749</v>
      </c>
      <c r="H3" s="192">
        <f t="shared" si="0"/>
        <v>2177</v>
      </c>
    </row>
    <row r="4" spans="1:8" ht="20.100000000000001" customHeight="1">
      <c r="A4" s="407"/>
      <c r="B4" s="414"/>
      <c r="C4" s="187" t="s">
        <v>345</v>
      </c>
      <c r="D4" s="193">
        <f>SUM(D6,D8)</f>
        <v>99.999999999999986</v>
      </c>
      <c r="E4" s="193">
        <f t="shared" si="0"/>
        <v>100</v>
      </c>
      <c r="F4" s="193">
        <f t="shared" si="0"/>
        <v>100</v>
      </c>
      <c r="G4" s="193">
        <f t="shared" si="0"/>
        <v>100</v>
      </c>
      <c r="H4" s="193">
        <f t="shared" si="0"/>
        <v>100</v>
      </c>
    </row>
    <row r="5" spans="1:8" ht="20.100000000000001" customHeight="1">
      <c r="A5" s="407"/>
      <c r="B5" s="414" t="s">
        <v>682</v>
      </c>
      <c r="C5" s="133" t="s">
        <v>344</v>
      </c>
      <c r="D5" s="194">
        <v>2705</v>
      </c>
      <c r="E5" s="194">
        <v>2263</v>
      </c>
      <c r="F5" s="194">
        <v>2236</v>
      </c>
      <c r="G5" s="194">
        <v>2496</v>
      </c>
      <c r="H5" s="194">
        <v>1965</v>
      </c>
    </row>
    <row r="6" spans="1:8" ht="20.100000000000001" customHeight="1">
      <c r="A6" s="407"/>
      <c r="B6" s="414"/>
      <c r="C6" s="187" t="s">
        <v>683</v>
      </c>
      <c r="D6" s="193">
        <f>IFERROR(D5/D$3*100,"-")</f>
        <v>87.853199090613828</v>
      </c>
      <c r="E6" s="193">
        <f t="shared" ref="E6:H6" si="1">IFERROR(E5/E$3*100,"-")</f>
        <v>88.226120857699811</v>
      </c>
      <c r="F6" s="193">
        <f t="shared" si="1"/>
        <v>89.368505195843326</v>
      </c>
      <c r="G6" s="193">
        <f t="shared" si="1"/>
        <v>90.796653328483089</v>
      </c>
      <c r="H6" s="193">
        <f t="shared" si="1"/>
        <v>90.261828203950387</v>
      </c>
    </row>
    <row r="7" spans="1:8" ht="20.100000000000001" customHeight="1">
      <c r="A7" s="407"/>
      <c r="B7" s="415" t="s">
        <v>434</v>
      </c>
      <c r="C7" s="133" t="s">
        <v>684</v>
      </c>
      <c r="D7" s="194">
        <v>374</v>
      </c>
      <c r="E7" s="194">
        <v>302</v>
      </c>
      <c r="F7" s="194">
        <v>266</v>
      </c>
      <c r="G7" s="194">
        <v>253</v>
      </c>
      <c r="H7" s="194">
        <v>212</v>
      </c>
    </row>
    <row r="8" spans="1:8" ht="20.100000000000001" customHeight="1">
      <c r="A8" s="407"/>
      <c r="B8" s="415"/>
      <c r="C8" s="187" t="s">
        <v>683</v>
      </c>
      <c r="D8" s="193">
        <f>IFERROR(D7/D$3*100,"-")</f>
        <v>12.146800909386164</v>
      </c>
      <c r="E8" s="193">
        <f t="shared" ref="E8:H8" si="2">IFERROR(E7/E$3*100,"-")</f>
        <v>11.773879142300196</v>
      </c>
      <c r="F8" s="193">
        <f t="shared" si="2"/>
        <v>10.631494804156674</v>
      </c>
      <c r="G8" s="193">
        <f t="shared" si="2"/>
        <v>9.2033466715169148</v>
      </c>
      <c r="H8" s="193">
        <f t="shared" si="2"/>
        <v>9.7381717960496097</v>
      </c>
    </row>
    <row r="9" spans="1:8" ht="20.100000000000001" customHeight="1">
      <c r="A9" s="408" t="s">
        <v>685</v>
      </c>
      <c r="B9" s="416" t="s">
        <v>686</v>
      </c>
      <c r="C9" s="133" t="s">
        <v>344</v>
      </c>
      <c r="D9" s="194">
        <v>2984</v>
      </c>
      <c r="E9" s="194">
        <v>2479</v>
      </c>
      <c r="F9" s="194">
        <v>2391</v>
      </c>
      <c r="G9" s="194">
        <v>2601</v>
      </c>
      <c r="H9" s="194">
        <v>2005</v>
      </c>
    </row>
    <row r="10" spans="1:8" ht="20.100000000000001" customHeight="1">
      <c r="A10" s="408"/>
      <c r="B10" s="414"/>
      <c r="C10" s="187" t="s">
        <v>683</v>
      </c>
      <c r="D10" s="193">
        <f>SUM(D12,D14)</f>
        <v>100.00000000000001</v>
      </c>
      <c r="E10" s="193">
        <f t="shared" ref="E10:H10" si="3">SUM(E12,E14)</f>
        <v>100</v>
      </c>
      <c r="F10" s="193">
        <f t="shared" si="3"/>
        <v>100</v>
      </c>
      <c r="G10" s="193">
        <f t="shared" si="3"/>
        <v>100</v>
      </c>
      <c r="H10" s="193">
        <f t="shared" si="3"/>
        <v>100</v>
      </c>
    </row>
    <row r="11" spans="1:8" ht="20.100000000000001" customHeight="1">
      <c r="A11" s="408"/>
      <c r="B11" s="414" t="s">
        <v>435</v>
      </c>
      <c r="C11" s="133" t="s">
        <v>687</v>
      </c>
      <c r="D11" s="194">
        <v>2624</v>
      </c>
      <c r="E11" s="194">
        <v>2194</v>
      </c>
      <c r="F11" s="194">
        <v>2133</v>
      </c>
      <c r="G11" s="194">
        <v>2359</v>
      </c>
      <c r="H11" s="194">
        <v>1806</v>
      </c>
    </row>
    <row r="12" spans="1:8" ht="20.100000000000001" customHeight="1">
      <c r="A12" s="408"/>
      <c r="B12" s="414"/>
      <c r="C12" s="187" t="s">
        <v>345</v>
      </c>
      <c r="D12" s="193">
        <f>IFERROR(D11/D$9*100,"-")</f>
        <v>87.935656836461135</v>
      </c>
      <c r="E12" s="193">
        <f t="shared" ref="E12:H12" si="4">IFERROR(E11/E$9*100,"-")</f>
        <v>88.503428801936266</v>
      </c>
      <c r="F12" s="193">
        <f t="shared" si="4"/>
        <v>89.20953575909661</v>
      </c>
      <c r="G12" s="193">
        <f t="shared" si="4"/>
        <v>90.695886197616304</v>
      </c>
      <c r="H12" s="193">
        <f t="shared" si="4"/>
        <v>90.074812967581053</v>
      </c>
    </row>
    <row r="13" spans="1:8" ht="20.100000000000001" customHeight="1">
      <c r="A13" s="408"/>
      <c r="B13" s="415" t="s">
        <v>434</v>
      </c>
      <c r="C13" s="133" t="s">
        <v>688</v>
      </c>
      <c r="D13" s="194">
        <v>360</v>
      </c>
      <c r="E13" s="194">
        <v>285</v>
      </c>
      <c r="F13" s="194">
        <v>258</v>
      </c>
      <c r="G13" s="194">
        <v>242</v>
      </c>
      <c r="H13" s="194">
        <v>199</v>
      </c>
    </row>
    <row r="14" spans="1:8" ht="20.100000000000001" customHeight="1">
      <c r="A14" s="408"/>
      <c r="B14" s="415"/>
      <c r="C14" s="187" t="s">
        <v>345</v>
      </c>
      <c r="D14" s="193">
        <f>IFERROR(D13/D$9*100,"-")</f>
        <v>12.064343163538874</v>
      </c>
      <c r="E14" s="193">
        <f t="shared" ref="E14:H14" si="5">IFERROR(E13/E$9*100,"-")</f>
        <v>11.496571198063736</v>
      </c>
      <c r="F14" s="193">
        <f t="shared" si="5"/>
        <v>10.790464240903388</v>
      </c>
      <c r="G14" s="193">
        <f t="shared" si="5"/>
        <v>9.3041138023836982</v>
      </c>
      <c r="H14" s="193">
        <f t="shared" si="5"/>
        <v>9.9251870324189522</v>
      </c>
    </row>
    <row r="15" spans="1:8" ht="20.100000000000001" customHeight="1">
      <c r="A15" s="409" t="s">
        <v>689</v>
      </c>
      <c r="B15" s="416" t="s">
        <v>690</v>
      </c>
      <c r="C15" s="133" t="s">
        <v>344</v>
      </c>
      <c r="D15" s="194">
        <v>95</v>
      </c>
      <c r="E15" s="194">
        <v>86</v>
      </c>
      <c r="F15" s="194">
        <v>111</v>
      </c>
      <c r="G15" s="194">
        <v>148</v>
      </c>
      <c r="H15" s="194">
        <v>172</v>
      </c>
    </row>
    <row r="16" spans="1:8" ht="20.100000000000001" customHeight="1">
      <c r="A16" s="409"/>
      <c r="B16" s="414"/>
      <c r="C16" s="187" t="s">
        <v>345</v>
      </c>
      <c r="D16" s="260">
        <f>SUM(D18,D20)</f>
        <v>99.999999999999986</v>
      </c>
      <c r="E16" s="260">
        <f t="shared" ref="E16:H16" si="6">SUM(E18,E20)</f>
        <v>100</v>
      </c>
      <c r="F16" s="260">
        <f t="shared" si="6"/>
        <v>100</v>
      </c>
      <c r="G16" s="260">
        <f t="shared" si="6"/>
        <v>100</v>
      </c>
      <c r="H16" s="193">
        <f t="shared" si="6"/>
        <v>100</v>
      </c>
    </row>
    <row r="17" spans="1:8" ht="20.100000000000001" customHeight="1">
      <c r="A17" s="409"/>
      <c r="B17" s="414" t="s">
        <v>435</v>
      </c>
      <c r="C17" s="133" t="s">
        <v>344</v>
      </c>
      <c r="D17" s="194">
        <v>81</v>
      </c>
      <c r="E17" s="194">
        <v>69</v>
      </c>
      <c r="F17" s="194">
        <v>103</v>
      </c>
      <c r="G17" s="194">
        <v>137</v>
      </c>
      <c r="H17" s="194">
        <v>159</v>
      </c>
    </row>
    <row r="18" spans="1:8" ht="20.100000000000001" customHeight="1">
      <c r="A18" s="409"/>
      <c r="B18" s="414"/>
      <c r="C18" s="187" t="s">
        <v>345</v>
      </c>
      <c r="D18" s="193">
        <f>IFERROR(D17/D$15*100,"-")</f>
        <v>85.263157894736835</v>
      </c>
      <c r="E18" s="193">
        <f t="shared" ref="E18:H18" si="7">IFERROR(E17/E$15*100,"-")</f>
        <v>80.232558139534888</v>
      </c>
      <c r="F18" s="193">
        <f t="shared" si="7"/>
        <v>92.792792792792795</v>
      </c>
      <c r="G18" s="193">
        <f t="shared" si="7"/>
        <v>92.567567567567565</v>
      </c>
      <c r="H18" s="193">
        <f t="shared" si="7"/>
        <v>92.441860465116278</v>
      </c>
    </row>
    <row r="19" spans="1:8" ht="20.100000000000001" customHeight="1">
      <c r="A19" s="409"/>
      <c r="B19" s="415" t="s">
        <v>434</v>
      </c>
      <c r="C19" s="133" t="s">
        <v>687</v>
      </c>
      <c r="D19" s="194">
        <v>14</v>
      </c>
      <c r="E19" s="194">
        <v>17</v>
      </c>
      <c r="F19" s="194">
        <v>8</v>
      </c>
      <c r="G19" s="194">
        <v>11</v>
      </c>
      <c r="H19" s="194">
        <v>13</v>
      </c>
    </row>
    <row r="20" spans="1:8" ht="20.100000000000001" customHeight="1">
      <c r="A20" s="410"/>
      <c r="B20" s="417"/>
      <c r="C20" s="188" t="s">
        <v>345</v>
      </c>
      <c r="D20" s="261">
        <f>IFERROR(D19/D$15*100,"-")</f>
        <v>14.736842105263156</v>
      </c>
      <c r="E20" s="261">
        <f t="shared" ref="E20:H20" si="8">IFERROR(E19/E$15*100,"-")</f>
        <v>19.767441860465116</v>
      </c>
      <c r="F20" s="261">
        <f t="shared" si="8"/>
        <v>7.2072072072072073</v>
      </c>
      <c r="G20" s="261">
        <f t="shared" si="8"/>
        <v>7.4324324324324325</v>
      </c>
      <c r="H20" s="261">
        <f t="shared" si="8"/>
        <v>7.5581395348837201</v>
      </c>
    </row>
    <row r="21" spans="1:8" s="82" customFormat="1" ht="14.25">
      <c r="A21" s="132" t="s">
        <v>438</v>
      </c>
      <c r="C21" s="83"/>
      <c r="D21" s="84"/>
    </row>
    <row r="22" spans="1:8" s="82" customFormat="1" ht="14.25">
      <c r="A22" s="82" t="s">
        <v>346</v>
      </c>
      <c r="C22" s="85"/>
    </row>
    <row r="23" spans="1:8">
      <c r="B23" s="82"/>
      <c r="C23" s="86"/>
      <c r="D23" s="87"/>
    </row>
    <row r="24" spans="1:8">
      <c r="C24" s="88"/>
    </row>
    <row r="25" spans="1:8">
      <c r="C25" s="86"/>
    </row>
    <row r="26" spans="1:8">
      <c r="C26" s="88"/>
    </row>
    <row r="27" spans="1:8">
      <c r="C27" s="86"/>
    </row>
    <row r="28" spans="1:8">
      <c r="C28" s="88"/>
    </row>
    <row r="29" spans="1:8">
      <c r="C29" s="86"/>
    </row>
    <row r="30" spans="1:8">
      <c r="C30" s="88"/>
    </row>
    <row r="31" spans="1:8">
      <c r="C31" s="86"/>
    </row>
    <row r="32" spans="1:8">
      <c r="C32" s="88"/>
    </row>
  </sheetData>
  <mergeCells count="14">
    <mergeCell ref="A1:H1"/>
    <mergeCell ref="A3:A8"/>
    <mergeCell ref="A9:A14"/>
    <mergeCell ref="A15:A20"/>
    <mergeCell ref="B2:C2"/>
    <mergeCell ref="B3:B4"/>
    <mergeCell ref="B5:B6"/>
    <mergeCell ref="B7:B8"/>
    <mergeCell ref="B9:B10"/>
    <mergeCell ref="B11:B12"/>
    <mergeCell ref="B13:B14"/>
    <mergeCell ref="B15:B16"/>
    <mergeCell ref="B17:B18"/>
    <mergeCell ref="B19:B20"/>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76"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R24"/>
  <sheetViews>
    <sheetView showGridLines="0" zoomScale="74" zoomScaleNormal="90" workbookViewId="0">
      <pane xSplit="2" ySplit="2" topLeftCell="C3" activePane="bottomRight" state="frozen"/>
      <selection activeCell="F17" sqref="F17"/>
      <selection pane="topRight" activeCell="F17" sqref="F17"/>
      <selection pane="bottomLeft" activeCell="F17" sqref="F17"/>
      <selection pane="bottomRight" activeCell="F17" sqref="F17"/>
    </sheetView>
  </sheetViews>
  <sheetFormatPr defaultColWidth="8.875" defaultRowHeight="15.75"/>
  <cols>
    <col min="1" max="1" width="21.375" style="81" customWidth="1"/>
    <col min="2" max="2" width="6.375" style="81" customWidth="1"/>
    <col min="3" max="17" width="11.625" style="81" bestFit="1" customWidth="1"/>
    <col min="18" max="256" width="9" style="81"/>
    <col min="257" max="257" width="21.375" style="81" customWidth="1"/>
    <col min="258" max="258" width="6.375" style="81" customWidth="1"/>
    <col min="259" max="272" width="7.5" style="81" customWidth="1"/>
    <col min="273" max="273" width="8.375" style="81" customWidth="1"/>
    <col min="274" max="512" width="9" style="81"/>
    <col min="513" max="513" width="21.375" style="81" customWidth="1"/>
    <col min="514" max="514" width="6.375" style="81" customWidth="1"/>
    <col min="515" max="528" width="7.5" style="81" customWidth="1"/>
    <col min="529" max="529" width="8.375" style="81" customWidth="1"/>
    <col min="530" max="768" width="9" style="81"/>
    <col min="769" max="769" width="21.375" style="81" customWidth="1"/>
    <col min="770" max="770" width="6.375" style="81" customWidth="1"/>
    <col min="771" max="784" width="7.5" style="81" customWidth="1"/>
    <col min="785" max="785" width="8.375" style="81" customWidth="1"/>
    <col min="786" max="1024" width="9" style="81"/>
    <col min="1025" max="1025" width="21.375" style="81" customWidth="1"/>
    <col min="1026" max="1026" width="6.375" style="81" customWidth="1"/>
    <col min="1027" max="1040" width="7.5" style="81" customWidth="1"/>
    <col min="1041" max="1041" width="8.375" style="81" customWidth="1"/>
    <col min="1042" max="1280" width="9" style="81"/>
    <col min="1281" max="1281" width="21.375" style="81" customWidth="1"/>
    <col min="1282" max="1282" width="6.375" style="81" customWidth="1"/>
    <col min="1283" max="1296" width="7.5" style="81" customWidth="1"/>
    <col min="1297" max="1297" width="8.375" style="81" customWidth="1"/>
    <col min="1298" max="1536" width="9" style="81"/>
    <col min="1537" max="1537" width="21.375" style="81" customWidth="1"/>
    <col min="1538" max="1538" width="6.375" style="81" customWidth="1"/>
    <col min="1539" max="1552" width="7.5" style="81" customWidth="1"/>
    <col min="1553" max="1553" width="8.375" style="81" customWidth="1"/>
    <col min="1554" max="1792" width="9" style="81"/>
    <col min="1793" max="1793" width="21.375" style="81" customWidth="1"/>
    <col min="1794" max="1794" width="6.375" style="81" customWidth="1"/>
    <col min="1795" max="1808" width="7.5" style="81" customWidth="1"/>
    <col min="1809" max="1809" width="8.375" style="81" customWidth="1"/>
    <col min="1810" max="2048" width="9" style="81"/>
    <col min="2049" max="2049" width="21.375" style="81" customWidth="1"/>
    <col min="2050" max="2050" width="6.375" style="81" customWidth="1"/>
    <col min="2051" max="2064" width="7.5" style="81" customWidth="1"/>
    <col min="2065" max="2065" width="8.375" style="81" customWidth="1"/>
    <col min="2066" max="2304" width="9" style="81"/>
    <col min="2305" max="2305" width="21.375" style="81" customWidth="1"/>
    <col min="2306" max="2306" width="6.375" style="81" customWidth="1"/>
    <col min="2307" max="2320" width="7.5" style="81" customWidth="1"/>
    <col min="2321" max="2321" width="8.375" style="81" customWidth="1"/>
    <col min="2322" max="2560" width="9" style="81"/>
    <col min="2561" max="2561" width="21.375" style="81" customWidth="1"/>
    <col min="2562" max="2562" width="6.375" style="81" customWidth="1"/>
    <col min="2563" max="2576" width="7.5" style="81" customWidth="1"/>
    <col min="2577" max="2577" width="8.375" style="81" customWidth="1"/>
    <col min="2578" max="2816" width="9" style="81"/>
    <col min="2817" max="2817" width="21.375" style="81" customWidth="1"/>
    <col min="2818" max="2818" width="6.375" style="81" customWidth="1"/>
    <col min="2819" max="2832" width="7.5" style="81" customWidth="1"/>
    <col min="2833" max="2833" width="8.375" style="81" customWidth="1"/>
    <col min="2834" max="3072" width="9" style="81"/>
    <col min="3073" max="3073" width="21.375" style="81" customWidth="1"/>
    <col min="3074" max="3074" width="6.375" style="81" customWidth="1"/>
    <col min="3075" max="3088" width="7.5" style="81" customWidth="1"/>
    <col min="3089" max="3089" width="8.375" style="81" customWidth="1"/>
    <col min="3090" max="3328" width="9" style="81"/>
    <col min="3329" max="3329" width="21.375" style="81" customWidth="1"/>
    <col min="3330" max="3330" width="6.375" style="81" customWidth="1"/>
    <col min="3331" max="3344" width="7.5" style="81" customWidth="1"/>
    <col min="3345" max="3345" width="8.375" style="81" customWidth="1"/>
    <col min="3346" max="3584" width="9" style="81"/>
    <col min="3585" max="3585" width="21.375" style="81" customWidth="1"/>
    <col min="3586" max="3586" width="6.375" style="81" customWidth="1"/>
    <col min="3587" max="3600" width="7.5" style="81" customWidth="1"/>
    <col min="3601" max="3601" width="8.375" style="81" customWidth="1"/>
    <col min="3602" max="3840" width="9" style="81"/>
    <col min="3841" max="3841" width="21.375" style="81" customWidth="1"/>
    <col min="3842" max="3842" width="6.375" style="81" customWidth="1"/>
    <col min="3843" max="3856" width="7.5" style="81" customWidth="1"/>
    <col min="3857" max="3857" width="8.375" style="81" customWidth="1"/>
    <col min="3858" max="4096" width="9" style="81"/>
    <col min="4097" max="4097" width="21.375" style="81" customWidth="1"/>
    <col min="4098" max="4098" width="6.375" style="81" customWidth="1"/>
    <col min="4099" max="4112" width="7.5" style="81" customWidth="1"/>
    <col min="4113" max="4113" width="8.375" style="81" customWidth="1"/>
    <col min="4114" max="4352" width="9" style="81"/>
    <col min="4353" max="4353" width="21.375" style="81" customWidth="1"/>
    <col min="4354" max="4354" width="6.375" style="81" customWidth="1"/>
    <col min="4355" max="4368" width="7.5" style="81" customWidth="1"/>
    <col min="4369" max="4369" width="8.375" style="81" customWidth="1"/>
    <col min="4370" max="4608" width="9" style="81"/>
    <col min="4609" max="4609" width="21.375" style="81" customWidth="1"/>
    <col min="4610" max="4610" width="6.375" style="81" customWidth="1"/>
    <col min="4611" max="4624" width="7.5" style="81" customWidth="1"/>
    <col min="4625" max="4625" width="8.375" style="81" customWidth="1"/>
    <col min="4626" max="4864" width="9" style="81"/>
    <col min="4865" max="4865" width="21.375" style="81" customWidth="1"/>
    <col min="4866" max="4866" width="6.375" style="81" customWidth="1"/>
    <col min="4867" max="4880" width="7.5" style="81" customWidth="1"/>
    <col min="4881" max="4881" width="8.375" style="81" customWidth="1"/>
    <col min="4882" max="5120" width="9" style="81"/>
    <col min="5121" max="5121" width="21.375" style="81" customWidth="1"/>
    <col min="5122" max="5122" width="6.375" style="81" customWidth="1"/>
    <col min="5123" max="5136" width="7.5" style="81" customWidth="1"/>
    <col min="5137" max="5137" width="8.375" style="81" customWidth="1"/>
    <col min="5138" max="5376" width="9" style="81"/>
    <col min="5377" max="5377" width="21.375" style="81" customWidth="1"/>
    <col min="5378" max="5378" width="6.375" style="81" customWidth="1"/>
    <col min="5379" max="5392" width="7.5" style="81" customWidth="1"/>
    <col min="5393" max="5393" width="8.375" style="81" customWidth="1"/>
    <col min="5394" max="5632" width="9" style="81"/>
    <col min="5633" max="5633" width="21.375" style="81" customWidth="1"/>
    <col min="5634" max="5634" width="6.375" style="81" customWidth="1"/>
    <col min="5635" max="5648" width="7.5" style="81" customWidth="1"/>
    <col min="5649" max="5649" width="8.375" style="81" customWidth="1"/>
    <col min="5650" max="5888" width="9" style="81"/>
    <col min="5889" max="5889" width="21.375" style="81" customWidth="1"/>
    <col min="5890" max="5890" width="6.375" style="81" customWidth="1"/>
    <col min="5891" max="5904" width="7.5" style="81" customWidth="1"/>
    <col min="5905" max="5905" width="8.375" style="81" customWidth="1"/>
    <col min="5906" max="6144" width="9" style="81"/>
    <col min="6145" max="6145" width="21.375" style="81" customWidth="1"/>
    <col min="6146" max="6146" width="6.375" style="81" customWidth="1"/>
    <col min="6147" max="6160" width="7.5" style="81" customWidth="1"/>
    <col min="6161" max="6161" width="8.375" style="81" customWidth="1"/>
    <col min="6162" max="6400" width="9" style="81"/>
    <col min="6401" max="6401" width="21.375" style="81" customWidth="1"/>
    <col min="6402" max="6402" width="6.375" style="81" customWidth="1"/>
    <col min="6403" max="6416" width="7.5" style="81" customWidth="1"/>
    <col min="6417" max="6417" width="8.375" style="81" customWidth="1"/>
    <col min="6418" max="6656" width="9" style="81"/>
    <col min="6657" max="6657" width="21.375" style="81" customWidth="1"/>
    <col min="6658" max="6658" width="6.375" style="81" customWidth="1"/>
    <col min="6659" max="6672" width="7.5" style="81" customWidth="1"/>
    <col min="6673" max="6673" width="8.375" style="81" customWidth="1"/>
    <col min="6674" max="6912" width="9" style="81"/>
    <col min="6913" max="6913" width="21.375" style="81" customWidth="1"/>
    <col min="6914" max="6914" width="6.375" style="81" customWidth="1"/>
    <col min="6915" max="6928" width="7.5" style="81" customWidth="1"/>
    <col min="6929" max="6929" width="8.375" style="81" customWidth="1"/>
    <col min="6930" max="7168" width="9" style="81"/>
    <col min="7169" max="7169" width="21.375" style="81" customWidth="1"/>
    <col min="7170" max="7170" width="6.375" style="81" customWidth="1"/>
    <col min="7171" max="7184" width="7.5" style="81" customWidth="1"/>
    <col min="7185" max="7185" width="8.375" style="81" customWidth="1"/>
    <col min="7186" max="7424" width="9" style="81"/>
    <col min="7425" max="7425" width="21.375" style="81" customWidth="1"/>
    <col min="7426" max="7426" width="6.375" style="81" customWidth="1"/>
    <col min="7427" max="7440" width="7.5" style="81" customWidth="1"/>
    <col min="7441" max="7441" width="8.375" style="81" customWidth="1"/>
    <col min="7442" max="7680" width="9" style="81"/>
    <col min="7681" max="7681" width="21.375" style="81" customWidth="1"/>
    <col min="7682" max="7682" width="6.375" style="81" customWidth="1"/>
    <col min="7683" max="7696" width="7.5" style="81" customWidth="1"/>
    <col min="7697" max="7697" width="8.375" style="81" customWidth="1"/>
    <col min="7698" max="7936" width="9" style="81"/>
    <col min="7937" max="7937" width="21.375" style="81" customWidth="1"/>
    <col min="7938" max="7938" width="6.375" style="81" customWidth="1"/>
    <col min="7939" max="7952" width="7.5" style="81" customWidth="1"/>
    <col min="7953" max="7953" width="8.375" style="81" customWidth="1"/>
    <col min="7954" max="8192" width="9" style="81"/>
    <col min="8193" max="8193" width="21.375" style="81" customWidth="1"/>
    <col min="8194" max="8194" width="6.375" style="81" customWidth="1"/>
    <col min="8195" max="8208" width="7.5" style="81" customWidth="1"/>
    <col min="8209" max="8209" width="8.375" style="81" customWidth="1"/>
    <col min="8210" max="8448" width="9" style="81"/>
    <col min="8449" max="8449" width="21.375" style="81" customWidth="1"/>
    <col min="8450" max="8450" width="6.375" style="81" customWidth="1"/>
    <col min="8451" max="8464" width="7.5" style="81" customWidth="1"/>
    <col min="8465" max="8465" width="8.375" style="81" customWidth="1"/>
    <col min="8466" max="8704" width="9" style="81"/>
    <col min="8705" max="8705" width="21.375" style="81" customWidth="1"/>
    <col min="8706" max="8706" width="6.375" style="81" customWidth="1"/>
    <col min="8707" max="8720" width="7.5" style="81" customWidth="1"/>
    <col min="8721" max="8721" width="8.375" style="81" customWidth="1"/>
    <col min="8722" max="8960" width="9" style="81"/>
    <col min="8961" max="8961" width="21.375" style="81" customWidth="1"/>
    <col min="8962" max="8962" width="6.375" style="81" customWidth="1"/>
    <col min="8963" max="8976" width="7.5" style="81" customWidth="1"/>
    <col min="8977" max="8977" width="8.375" style="81" customWidth="1"/>
    <col min="8978" max="9216" width="9" style="81"/>
    <col min="9217" max="9217" width="21.375" style="81" customWidth="1"/>
    <col min="9218" max="9218" width="6.375" style="81" customWidth="1"/>
    <col min="9219" max="9232" width="7.5" style="81" customWidth="1"/>
    <col min="9233" max="9233" width="8.375" style="81" customWidth="1"/>
    <col min="9234" max="9472" width="9" style="81"/>
    <col min="9473" max="9473" width="21.375" style="81" customWidth="1"/>
    <col min="9474" max="9474" width="6.375" style="81" customWidth="1"/>
    <col min="9475" max="9488" width="7.5" style="81" customWidth="1"/>
    <col min="9489" max="9489" width="8.375" style="81" customWidth="1"/>
    <col min="9490" max="9728" width="9" style="81"/>
    <col min="9729" max="9729" width="21.375" style="81" customWidth="1"/>
    <col min="9730" max="9730" width="6.375" style="81" customWidth="1"/>
    <col min="9731" max="9744" width="7.5" style="81" customWidth="1"/>
    <col min="9745" max="9745" width="8.375" style="81" customWidth="1"/>
    <col min="9746" max="9984" width="9" style="81"/>
    <col min="9985" max="9985" width="21.375" style="81" customWidth="1"/>
    <col min="9986" max="9986" width="6.375" style="81" customWidth="1"/>
    <col min="9987" max="10000" width="7.5" style="81" customWidth="1"/>
    <col min="10001" max="10001" width="8.375" style="81" customWidth="1"/>
    <col min="10002" max="10240" width="9" style="81"/>
    <col min="10241" max="10241" width="21.375" style="81" customWidth="1"/>
    <col min="10242" max="10242" width="6.375" style="81" customWidth="1"/>
    <col min="10243" max="10256" width="7.5" style="81" customWidth="1"/>
    <col min="10257" max="10257" width="8.375" style="81" customWidth="1"/>
    <col min="10258" max="10496" width="9" style="81"/>
    <col min="10497" max="10497" width="21.375" style="81" customWidth="1"/>
    <col min="10498" max="10498" width="6.375" style="81" customWidth="1"/>
    <col min="10499" max="10512" width="7.5" style="81" customWidth="1"/>
    <col min="10513" max="10513" width="8.375" style="81" customWidth="1"/>
    <col min="10514" max="10752" width="9" style="81"/>
    <col min="10753" max="10753" width="21.375" style="81" customWidth="1"/>
    <col min="10754" max="10754" width="6.375" style="81" customWidth="1"/>
    <col min="10755" max="10768" width="7.5" style="81" customWidth="1"/>
    <col min="10769" max="10769" width="8.375" style="81" customWidth="1"/>
    <col min="10770" max="11008" width="9" style="81"/>
    <col min="11009" max="11009" width="21.375" style="81" customWidth="1"/>
    <col min="11010" max="11010" width="6.375" style="81" customWidth="1"/>
    <col min="11011" max="11024" width="7.5" style="81" customWidth="1"/>
    <col min="11025" max="11025" width="8.375" style="81" customWidth="1"/>
    <col min="11026" max="11264" width="9" style="81"/>
    <col min="11265" max="11265" width="21.375" style="81" customWidth="1"/>
    <col min="11266" max="11266" width="6.375" style="81" customWidth="1"/>
    <col min="11267" max="11280" width="7.5" style="81" customWidth="1"/>
    <col min="11281" max="11281" width="8.375" style="81" customWidth="1"/>
    <col min="11282" max="11520" width="9" style="81"/>
    <col min="11521" max="11521" width="21.375" style="81" customWidth="1"/>
    <col min="11522" max="11522" width="6.375" style="81" customWidth="1"/>
    <col min="11523" max="11536" width="7.5" style="81" customWidth="1"/>
    <col min="11537" max="11537" width="8.375" style="81" customWidth="1"/>
    <col min="11538" max="11776" width="9" style="81"/>
    <col min="11777" max="11777" width="21.375" style="81" customWidth="1"/>
    <col min="11778" max="11778" width="6.375" style="81" customWidth="1"/>
    <col min="11779" max="11792" width="7.5" style="81" customWidth="1"/>
    <col min="11793" max="11793" width="8.375" style="81" customWidth="1"/>
    <col min="11794" max="12032" width="9" style="81"/>
    <col min="12033" max="12033" width="21.375" style="81" customWidth="1"/>
    <col min="12034" max="12034" width="6.375" style="81" customWidth="1"/>
    <col min="12035" max="12048" width="7.5" style="81" customWidth="1"/>
    <col min="12049" max="12049" width="8.375" style="81" customWidth="1"/>
    <col min="12050" max="12288" width="9" style="81"/>
    <col min="12289" max="12289" width="21.375" style="81" customWidth="1"/>
    <col min="12290" max="12290" width="6.375" style="81" customWidth="1"/>
    <col min="12291" max="12304" width="7.5" style="81" customWidth="1"/>
    <col min="12305" max="12305" width="8.375" style="81" customWidth="1"/>
    <col min="12306" max="12544" width="9" style="81"/>
    <col min="12545" max="12545" width="21.375" style="81" customWidth="1"/>
    <col min="12546" max="12546" width="6.375" style="81" customWidth="1"/>
    <col min="12547" max="12560" width="7.5" style="81" customWidth="1"/>
    <col min="12561" max="12561" width="8.375" style="81" customWidth="1"/>
    <col min="12562" max="12800" width="9" style="81"/>
    <col min="12801" max="12801" width="21.375" style="81" customWidth="1"/>
    <col min="12802" max="12802" width="6.375" style="81" customWidth="1"/>
    <col min="12803" max="12816" width="7.5" style="81" customWidth="1"/>
    <col min="12817" max="12817" width="8.375" style="81" customWidth="1"/>
    <col min="12818" max="13056" width="9" style="81"/>
    <col min="13057" max="13057" width="21.375" style="81" customWidth="1"/>
    <col min="13058" max="13058" width="6.375" style="81" customWidth="1"/>
    <col min="13059" max="13072" width="7.5" style="81" customWidth="1"/>
    <col min="13073" max="13073" width="8.375" style="81" customWidth="1"/>
    <col min="13074" max="13312" width="9" style="81"/>
    <col min="13313" max="13313" width="21.375" style="81" customWidth="1"/>
    <col min="13314" max="13314" width="6.375" style="81" customWidth="1"/>
    <col min="13315" max="13328" width="7.5" style="81" customWidth="1"/>
    <col min="13329" max="13329" width="8.375" style="81" customWidth="1"/>
    <col min="13330" max="13568" width="9" style="81"/>
    <col min="13569" max="13569" width="21.375" style="81" customWidth="1"/>
    <col min="13570" max="13570" width="6.375" style="81" customWidth="1"/>
    <col min="13571" max="13584" width="7.5" style="81" customWidth="1"/>
    <col min="13585" max="13585" width="8.375" style="81" customWidth="1"/>
    <col min="13586" max="13824" width="9" style="81"/>
    <col min="13825" max="13825" width="21.375" style="81" customWidth="1"/>
    <col min="13826" max="13826" width="6.375" style="81" customWidth="1"/>
    <col min="13827" max="13840" width="7.5" style="81" customWidth="1"/>
    <col min="13841" max="13841" width="8.375" style="81" customWidth="1"/>
    <col min="13842" max="14080" width="9" style="81"/>
    <col min="14081" max="14081" width="21.375" style="81" customWidth="1"/>
    <col min="14082" max="14082" width="6.375" style="81" customWidth="1"/>
    <col min="14083" max="14096" width="7.5" style="81" customWidth="1"/>
    <col min="14097" max="14097" width="8.375" style="81" customWidth="1"/>
    <col min="14098" max="14336" width="9" style="81"/>
    <col min="14337" max="14337" width="21.375" style="81" customWidth="1"/>
    <col min="14338" max="14338" width="6.375" style="81" customWidth="1"/>
    <col min="14339" max="14352" width="7.5" style="81" customWidth="1"/>
    <col min="14353" max="14353" width="8.375" style="81" customWidth="1"/>
    <col min="14354" max="14592" width="9" style="81"/>
    <col min="14593" max="14593" width="21.375" style="81" customWidth="1"/>
    <col min="14594" max="14594" width="6.375" style="81" customWidth="1"/>
    <col min="14595" max="14608" width="7.5" style="81" customWidth="1"/>
    <col min="14609" max="14609" width="8.375" style="81" customWidth="1"/>
    <col min="14610" max="14848" width="9" style="81"/>
    <col min="14849" max="14849" width="21.375" style="81" customWidth="1"/>
    <col min="14850" max="14850" width="6.375" style="81" customWidth="1"/>
    <col min="14851" max="14864" width="7.5" style="81" customWidth="1"/>
    <col min="14865" max="14865" width="8.375" style="81" customWidth="1"/>
    <col min="14866" max="15104" width="9" style="81"/>
    <col min="15105" max="15105" width="21.375" style="81" customWidth="1"/>
    <col min="15106" max="15106" width="6.375" style="81" customWidth="1"/>
    <col min="15107" max="15120" width="7.5" style="81" customWidth="1"/>
    <col min="15121" max="15121" width="8.375" style="81" customWidth="1"/>
    <col min="15122" max="15360" width="9" style="81"/>
    <col min="15361" max="15361" width="21.375" style="81" customWidth="1"/>
    <col min="15362" max="15362" width="6.375" style="81" customWidth="1"/>
    <col min="15363" max="15376" width="7.5" style="81" customWidth="1"/>
    <col min="15377" max="15377" width="8.375" style="81" customWidth="1"/>
    <col min="15378" max="15616" width="9" style="81"/>
    <col min="15617" max="15617" width="21.375" style="81" customWidth="1"/>
    <col min="15618" max="15618" width="6.375" style="81" customWidth="1"/>
    <col min="15619" max="15632" width="7.5" style="81" customWidth="1"/>
    <col min="15633" max="15633" width="8.375" style="81" customWidth="1"/>
    <col min="15634" max="15872" width="9" style="81"/>
    <col min="15873" max="15873" width="21.375" style="81" customWidth="1"/>
    <col min="15874" max="15874" width="6.375" style="81" customWidth="1"/>
    <col min="15875" max="15888" width="7.5" style="81" customWidth="1"/>
    <col min="15889" max="15889" width="8.375" style="81" customWidth="1"/>
    <col min="15890" max="16128" width="9" style="81"/>
    <col min="16129" max="16129" width="21.375" style="81" customWidth="1"/>
    <col min="16130" max="16130" width="6.375" style="81" customWidth="1"/>
    <col min="16131" max="16144" width="7.5" style="81" customWidth="1"/>
    <col min="16145" max="16145" width="8.375" style="81" customWidth="1"/>
    <col min="16146" max="16384" width="9" style="81"/>
  </cols>
  <sheetData>
    <row r="1" spans="1:18" s="80" customFormat="1" ht="25.35" customHeight="1">
      <c r="A1" s="418" t="s">
        <v>691</v>
      </c>
      <c r="B1" s="418"/>
      <c r="C1" s="418"/>
      <c r="D1" s="418"/>
      <c r="E1" s="418"/>
      <c r="F1" s="418"/>
      <c r="G1" s="418"/>
      <c r="H1" s="418"/>
      <c r="I1" s="418"/>
      <c r="J1" s="418"/>
      <c r="K1" s="418"/>
      <c r="L1" s="418"/>
      <c r="M1" s="418"/>
      <c r="N1" s="418"/>
      <c r="O1" s="418"/>
      <c r="P1" s="418"/>
      <c r="Q1" s="418"/>
    </row>
    <row r="2" spans="1:18" ht="36.6" customHeight="1">
      <c r="A2" s="419"/>
      <c r="B2" s="419"/>
      <c r="C2" s="421" t="s">
        <v>680</v>
      </c>
      <c r="D2" s="421"/>
      <c r="E2" s="421"/>
      <c r="F2" s="421" t="s">
        <v>35</v>
      </c>
      <c r="G2" s="421"/>
      <c r="H2" s="421"/>
      <c r="I2" s="421" t="s">
        <v>36</v>
      </c>
      <c r="J2" s="421"/>
      <c r="K2" s="421"/>
      <c r="L2" s="421" t="s">
        <v>37</v>
      </c>
      <c r="M2" s="421"/>
      <c r="N2" s="421"/>
      <c r="O2" s="421" t="s">
        <v>567</v>
      </c>
      <c r="P2" s="421"/>
      <c r="Q2" s="421"/>
    </row>
    <row r="3" spans="1:18" ht="37.35" customHeight="1">
      <c r="A3" s="420"/>
      <c r="B3" s="420"/>
      <c r="C3" s="188" t="s">
        <v>692</v>
      </c>
      <c r="D3" s="190" t="s">
        <v>348</v>
      </c>
      <c r="E3" s="190" t="s">
        <v>693</v>
      </c>
      <c r="F3" s="188" t="s">
        <v>692</v>
      </c>
      <c r="G3" s="190" t="s">
        <v>348</v>
      </c>
      <c r="H3" s="190" t="s">
        <v>693</v>
      </c>
      <c r="I3" s="188" t="s">
        <v>694</v>
      </c>
      <c r="J3" s="190" t="s">
        <v>695</v>
      </c>
      <c r="K3" s="190" t="s">
        <v>693</v>
      </c>
      <c r="L3" s="188" t="s">
        <v>694</v>
      </c>
      <c r="M3" s="190" t="s">
        <v>695</v>
      </c>
      <c r="N3" s="190" t="s">
        <v>349</v>
      </c>
      <c r="O3" s="188" t="s">
        <v>694</v>
      </c>
      <c r="P3" s="190" t="s">
        <v>696</v>
      </c>
      <c r="Q3" s="190" t="s">
        <v>697</v>
      </c>
    </row>
    <row r="4" spans="1:18" s="89" customFormat="1" ht="19.5" customHeight="1">
      <c r="A4" s="420" t="s">
        <v>698</v>
      </c>
      <c r="B4" s="134" t="s">
        <v>350</v>
      </c>
      <c r="C4" s="138">
        <f t="shared" ref="C4:Q5" si="0">SUM(C6,C8,C10,C12,C14,C16,C18,C20)</f>
        <v>3079</v>
      </c>
      <c r="D4" s="138">
        <f t="shared" si="0"/>
        <v>2705</v>
      </c>
      <c r="E4" s="138">
        <f t="shared" si="0"/>
        <v>374</v>
      </c>
      <c r="F4" s="138">
        <f t="shared" si="0"/>
        <v>2565</v>
      </c>
      <c r="G4" s="138">
        <f t="shared" si="0"/>
        <v>2263</v>
      </c>
      <c r="H4" s="138">
        <f t="shared" si="0"/>
        <v>302</v>
      </c>
      <c r="I4" s="138">
        <f t="shared" si="0"/>
        <v>2502</v>
      </c>
      <c r="J4" s="138">
        <f t="shared" si="0"/>
        <v>2236</v>
      </c>
      <c r="K4" s="138">
        <f t="shared" si="0"/>
        <v>266</v>
      </c>
      <c r="L4" s="138">
        <f t="shared" si="0"/>
        <v>2749</v>
      </c>
      <c r="M4" s="138">
        <f t="shared" si="0"/>
        <v>2496</v>
      </c>
      <c r="N4" s="138">
        <f t="shared" si="0"/>
        <v>253</v>
      </c>
      <c r="O4" s="138">
        <f t="shared" si="0"/>
        <v>2177</v>
      </c>
      <c r="P4" s="138">
        <f t="shared" si="0"/>
        <v>1965</v>
      </c>
      <c r="Q4" s="138">
        <f t="shared" si="0"/>
        <v>212</v>
      </c>
    </row>
    <row r="5" spans="1:18" s="90" customFormat="1" ht="19.5" customHeight="1">
      <c r="A5" s="420"/>
      <c r="B5" s="135" t="s">
        <v>351</v>
      </c>
      <c r="C5" s="139">
        <f t="shared" si="0"/>
        <v>100</v>
      </c>
      <c r="D5" s="139">
        <f t="shared" si="0"/>
        <v>100</v>
      </c>
      <c r="E5" s="139">
        <f t="shared" si="0"/>
        <v>100</v>
      </c>
      <c r="F5" s="139">
        <f t="shared" si="0"/>
        <v>100</v>
      </c>
      <c r="G5" s="139">
        <f t="shared" si="0"/>
        <v>100</v>
      </c>
      <c r="H5" s="139">
        <f t="shared" si="0"/>
        <v>100</v>
      </c>
      <c r="I5" s="139">
        <f t="shared" si="0"/>
        <v>100</v>
      </c>
      <c r="J5" s="139">
        <f t="shared" si="0"/>
        <v>100</v>
      </c>
      <c r="K5" s="139">
        <f t="shared" si="0"/>
        <v>99.999999999999986</v>
      </c>
      <c r="L5" s="139">
        <f t="shared" si="0"/>
        <v>100</v>
      </c>
      <c r="M5" s="139">
        <f t="shared" si="0"/>
        <v>100</v>
      </c>
      <c r="N5" s="139">
        <f t="shared" si="0"/>
        <v>100</v>
      </c>
      <c r="O5" s="139">
        <f t="shared" si="0"/>
        <v>100</v>
      </c>
      <c r="P5" s="139">
        <f t="shared" si="0"/>
        <v>100</v>
      </c>
      <c r="Q5" s="139">
        <f t="shared" si="0"/>
        <v>100</v>
      </c>
    </row>
    <row r="6" spans="1:18" s="89" customFormat="1" ht="19.5" customHeight="1">
      <c r="A6" s="420" t="s">
        <v>352</v>
      </c>
      <c r="B6" s="134" t="s">
        <v>350</v>
      </c>
      <c r="C6" s="137">
        <v>17</v>
      </c>
      <c r="D6" s="137">
        <v>17</v>
      </c>
      <c r="E6" s="137" t="s">
        <v>9</v>
      </c>
      <c r="F6" s="137">
        <v>11</v>
      </c>
      <c r="G6" s="137">
        <v>10</v>
      </c>
      <c r="H6" s="139">
        <v>1</v>
      </c>
      <c r="I6" s="137">
        <v>4</v>
      </c>
      <c r="J6" s="137">
        <v>4</v>
      </c>
      <c r="K6" s="137" t="s">
        <v>9</v>
      </c>
      <c r="L6" s="137">
        <v>2</v>
      </c>
      <c r="M6" s="137">
        <v>1</v>
      </c>
      <c r="N6" s="137">
        <v>1</v>
      </c>
      <c r="O6" s="137" t="s">
        <v>9</v>
      </c>
      <c r="P6" s="137" t="s">
        <v>9</v>
      </c>
      <c r="Q6" s="137" t="s">
        <v>9</v>
      </c>
    </row>
    <row r="7" spans="1:18" s="90" customFormat="1" ht="19.5" customHeight="1">
      <c r="A7" s="420"/>
      <c r="B7" s="135" t="s">
        <v>351</v>
      </c>
      <c r="C7" s="139">
        <f>IFERROR(IF(C6=0,"-",C6/C$4*100),"-")</f>
        <v>0.55212731406300741</v>
      </c>
      <c r="D7" s="139">
        <f t="shared" ref="D7:Q7" si="1">IFERROR(IF(D6=0,"-",D6/D$4*100),"-")</f>
        <v>0.6284658040665434</v>
      </c>
      <c r="E7" s="139" t="str">
        <f t="shared" si="1"/>
        <v>-</v>
      </c>
      <c r="F7" s="139">
        <f t="shared" si="1"/>
        <v>0.42884990253411304</v>
      </c>
      <c r="G7" s="139">
        <f t="shared" si="1"/>
        <v>0.44189129474149363</v>
      </c>
      <c r="H7" s="139">
        <f t="shared" si="1"/>
        <v>0.33112582781456956</v>
      </c>
      <c r="I7" s="139">
        <f t="shared" si="1"/>
        <v>0.15987210231814547</v>
      </c>
      <c r="J7" s="139">
        <f t="shared" si="1"/>
        <v>0.17889087656529518</v>
      </c>
      <c r="K7" s="139" t="str">
        <f t="shared" si="1"/>
        <v>-</v>
      </c>
      <c r="L7" s="139">
        <f t="shared" si="1"/>
        <v>7.275372862859221E-2</v>
      </c>
      <c r="M7" s="139">
        <f t="shared" si="1"/>
        <v>4.0064102564102561E-2</v>
      </c>
      <c r="N7" s="139">
        <f t="shared" si="1"/>
        <v>0.39525691699604742</v>
      </c>
      <c r="O7" s="139" t="str">
        <f t="shared" si="1"/>
        <v>-</v>
      </c>
      <c r="P7" s="139" t="str">
        <f t="shared" si="1"/>
        <v>-</v>
      </c>
      <c r="Q7" s="139" t="str">
        <f t="shared" si="1"/>
        <v>-</v>
      </c>
      <c r="R7" s="228"/>
    </row>
    <row r="8" spans="1:18" s="89" customFormat="1" ht="19.5" customHeight="1">
      <c r="A8" s="420" t="s">
        <v>699</v>
      </c>
      <c r="B8" s="134" t="s">
        <v>700</v>
      </c>
      <c r="C8" s="137">
        <v>50</v>
      </c>
      <c r="D8" s="137">
        <v>43</v>
      </c>
      <c r="E8" s="137">
        <v>7</v>
      </c>
      <c r="F8" s="137">
        <v>27</v>
      </c>
      <c r="G8" s="137">
        <v>26</v>
      </c>
      <c r="H8" s="137">
        <v>1</v>
      </c>
      <c r="I8" s="137">
        <v>27</v>
      </c>
      <c r="J8" s="137">
        <v>22</v>
      </c>
      <c r="K8" s="137">
        <v>5</v>
      </c>
      <c r="L8" s="137">
        <v>28</v>
      </c>
      <c r="M8" s="137">
        <v>24</v>
      </c>
      <c r="N8" s="137">
        <v>4</v>
      </c>
      <c r="O8" s="137">
        <v>13</v>
      </c>
      <c r="P8" s="137">
        <v>10</v>
      </c>
      <c r="Q8" s="137">
        <v>3</v>
      </c>
    </row>
    <row r="9" spans="1:18" s="90" customFormat="1" ht="19.5" customHeight="1">
      <c r="A9" s="420"/>
      <c r="B9" s="135" t="s">
        <v>351</v>
      </c>
      <c r="C9" s="139">
        <f>IFERROR(IF(C8=0,"-",C8/C$4*100),"-")</f>
        <v>1.6239038648911983</v>
      </c>
      <c r="D9" s="139">
        <f t="shared" ref="D9:Q9" si="2">IFERROR(IF(D8=0,"-",D8/D$4*100),"-")</f>
        <v>1.5896487985212568</v>
      </c>
      <c r="E9" s="139">
        <f t="shared" si="2"/>
        <v>1.8716577540106951</v>
      </c>
      <c r="F9" s="139">
        <f t="shared" si="2"/>
        <v>1.0526315789473684</v>
      </c>
      <c r="G9" s="139">
        <f t="shared" si="2"/>
        <v>1.1489173663278833</v>
      </c>
      <c r="H9" s="139">
        <f t="shared" si="2"/>
        <v>0.33112582781456956</v>
      </c>
      <c r="I9" s="139">
        <f t="shared" si="2"/>
        <v>1.079136690647482</v>
      </c>
      <c r="J9" s="139">
        <f t="shared" si="2"/>
        <v>0.98389982110912344</v>
      </c>
      <c r="K9" s="139">
        <f t="shared" si="2"/>
        <v>1.8796992481203008</v>
      </c>
      <c r="L9" s="139">
        <f t="shared" si="2"/>
        <v>1.018552200800291</v>
      </c>
      <c r="M9" s="139">
        <f t="shared" si="2"/>
        <v>0.96153846153846156</v>
      </c>
      <c r="N9" s="139">
        <f t="shared" si="2"/>
        <v>1.5810276679841897</v>
      </c>
      <c r="O9" s="139">
        <f t="shared" si="2"/>
        <v>0.59715204409738176</v>
      </c>
      <c r="P9" s="139">
        <f t="shared" si="2"/>
        <v>0.5089058524173028</v>
      </c>
      <c r="Q9" s="139">
        <f t="shared" si="2"/>
        <v>1.4150943396226416</v>
      </c>
    </row>
    <row r="10" spans="1:18" s="89" customFormat="1" ht="19.5" customHeight="1">
      <c r="A10" s="420" t="s">
        <v>436</v>
      </c>
      <c r="B10" s="134" t="s">
        <v>350</v>
      </c>
      <c r="C10" s="137">
        <v>152</v>
      </c>
      <c r="D10" s="137">
        <v>122</v>
      </c>
      <c r="E10" s="137">
        <v>30</v>
      </c>
      <c r="F10" s="137">
        <v>100</v>
      </c>
      <c r="G10" s="137">
        <v>84</v>
      </c>
      <c r="H10" s="137">
        <v>16</v>
      </c>
      <c r="I10" s="137">
        <v>103</v>
      </c>
      <c r="J10" s="137">
        <v>85</v>
      </c>
      <c r="K10" s="137">
        <v>18</v>
      </c>
      <c r="L10" s="137">
        <v>116</v>
      </c>
      <c r="M10" s="137">
        <v>95</v>
      </c>
      <c r="N10" s="137">
        <v>21</v>
      </c>
      <c r="O10" s="137">
        <v>69</v>
      </c>
      <c r="P10" s="137">
        <v>61</v>
      </c>
      <c r="Q10" s="137">
        <v>8</v>
      </c>
    </row>
    <row r="11" spans="1:18" s="90" customFormat="1" ht="19.5" customHeight="1">
      <c r="A11" s="420"/>
      <c r="B11" s="135" t="s">
        <v>351</v>
      </c>
      <c r="C11" s="139">
        <f>IFERROR(IF(C10=0,"-",C10/C$4*100),"-")</f>
        <v>4.936667749269243</v>
      </c>
      <c r="D11" s="139">
        <f t="shared" ref="D11:Q11" si="3">IFERROR(IF(D10=0,"-",D10/D$4*100),"-")</f>
        <v>4.5101663585951943</v>
      </c>
      <c r="E11" s="139">
        <f t="shared" si="3"/>
        <v>8.0213903743315509</v>
      </c>
      <c r="F11" s="139">
        <f t="shared" si="3"/>
        <v>3.8986354775828458</v>
      </c>
      <c r="G11" s="139">
        <f t="shared" si="3"/>
        <v>3.7118868758285464</v>
      </c>
      <c r="H11" s="139">
        <f t="shared" si="3"/>
        <v>5.298013245033113</v>
      </c>
      <c r="I11" s="139">
        <f t="shared" si="3"/>
        <v>4.1167066346922461</v>
      </c>
      <c r="J11" s="139">
        <f t="shared" si="3"/>
        <v>3.8014311270125223</v>
      </c>
      <c r="K11" s="139">
        <f t="shared" si="3"/>
        <v>6.7669172932330826</v>
      </c>
      <c r="L11" s="139">
        <f t="shared" si="3"/>
        <v>4.2197162604583482</v>
      </c>
      <c r="M11" s="139">
        <f t="shared" si="3"/>
        <v>3.8060897435897432</v>
      </c>
      <c r="N11" s="139">
        <f t="shared" si="3"/>
        <v>8.3003952569169961</v>
      </c>
      <c r="O11" s="139">
        <f t="shared" si="3"/>
        <v>3.1694993109784102</v>
      </c>
      <c r="P11" s="139">
        <f t="shared" si="3"/>
        <v>3.1043256997455471</v>
      </c>
      <c r="Q11" s="139">
        <f t="shared" si="3"/>
        <v>3.7735849056603774</v>
      </c>
    </row>
    <row r="12" spans="1:18" s="89" customFormat="1" ht="19.5" customHeight="1">
      <c r="A12" s="420" t="s">
        <v>701</v>
      </c>
      <c r="B12" s="134" t="s">
        <v>702</v>
      </c>
      <c r="C12" s="137">
        <v>294</v>
      </c>
      <c r="D12" s="137">
        <v>244</v>
      </c>
      <c r="E12" s="137">
        <v>50</v>
      </c>
      <c r="F12" s="137">
        <v>263</v>
      </c>
      <c r="G12" s="137">
        <v>210</v>
      </c>
      <c r="H12" s="137">
        <v>53</v>
      </c>
      <c r="I12" s="137">
        <v>290</v>
      </c>
      <c r="J12" s="137">
        <v>240</v>
      </c>
      <c r="K12" s="137">
        <v>50</v>
      </c>
      <c r="L12" s="137">
        <v>318</v>
      </c>
      <c r="M12" s="137">
        <v>262</v>
      </c>
      <c r="N12" s="137">
        <v>56</v>
      </c>
      <c r="O12" s="137">
        <v>207</v>
      </c>
      <c r="P12" s="137">
        <v>177</v>
      </c>
      <c r="Q12" s="137">
        <v>30</v>
      </c>
    </row>
    <row r="13" spans="1:18" s="90" customFormat="1" ht="19.5" customHeight="1">
      <c r="A13" s="420"/>
      <c r="B13" s="135" t="s">
        <v>351</v>
      </c>
      <c r="C13" s="139">
        <f>IFERROR(IF(C12=0,"-",C12/C$4*100),"-")</f>
        <v>9.5485547255602476</v>
      </c>
      <c r="D13" s="139">
        <f t="shared" ref="D13:Q13" si="4">IFERROR(IF(D12=0,"-",D12/D$4*100),"-")</f>
        <v>9.0203327171903886</v>
      </c>
      <c r="E13" s="139">
        <f t="shared" si="4"/>
        <v>13.368983957219251</v>
      </c>
      <c r="F13" s="139">
        <f t="shared" si="4"/>
        <v>10.253411306042885</v>
      </c>
      <c r="G13" s="139">
        <f t="shared" si="4"/>
        <v>9.2797171895713646</v>
      </c>
      <c r="H13" s="139">
        <f t="shared" si="4"/>
        <v>17.549668874172188</v>
      </c>
      <c r="I13" s="139">
        <f t="shared" si="4"/>
        <v>11.590727418065548</v>
      </c>
      <c r="J13" s="139">
        <f t="shared" si="4"/>
        <v>10.733452593917709</v>
      </c>
      <c r="K13" s="139">
        <f t="shared" si="4"/>
        <v>18.796992481203006</v>
      </c>
      <c r="L13" s="139">
        <f t="shared" si="4"/>
        <v>11.567842851946162</v>
      </c>
      <c r="M13" s="139">
        <f t="shared" si="4"/>
        <v>10.496794871794872</v>
      </c>
      <c r="N13" s="139">
        <f t="shared" si="4"/>
        <v>22.134387351778656</v>
      </c>
      <c r="O13" s="139">
        <f t="shared" si="4"/>
        <v>9.5084979329352315</v>
      </c>
      <c r="P13" s="139">
        <f t="shared" si="4"/>
        <v>9.007633587786259</v>
      </c>
      <c r="Q13" s="139">
        <f t="shared" si="4"/>
        <v>14.150943396226415</v>
      </c>
    </row>
    <row r="14" spans="1:18" s="89" customFormat="1" ht="19.5" customHeight="1">
      <c r="A14" s="420" t="s">
        <v>703</v>
      </c>
      <c r="B14" s="134" t="s">
        <v>704</v>
      </c>
      <c r="C14" s="137">
        <v>445</v>
      </c>
      <c r="D14" s="137">
        <v>376</v>
      </c>
      <c r="E14" s="137">
        <v>69</v>
      </c>
      <c r="F14" s="137">
        <v>360</v>
      </c>
      <c r="G14" s="137">
        <v>301</v>
      </c>
      <c r="H14" s="137">
        <v>59</v>
      </c>
      <c r="I14" s="137">
        <v>402</v>
      </c>
      <c r="J14" s="137">
        <v>353</v>
      </c>
      <c r="K14" s="137">
        <v>49</v>
      </c>
      <c r="L14" s="137">
        <v>396</v>
      </c>
      <c r="M14" s="137">
        <v>363</v>
      </c>
      <c r="N14" s="137">
        <v>33</v>
      </c>
      <c r="O14" s="137">
        <v>363</v>
      </c>
      <c r="P14" s="137">
        <v>302</v>
      </c>
      <c r="Q14" s="137">
        <v>61</v>
      </c>
    </row>
    <row r="15" spans="1:18" s="90" customFormat="1" ht="19.5" customHeight="1">
      <c r="A15" s="420"/>
      <c r="B15" s="135" t="s">
        <v>351</v>
      </c>
      <c r="C15" s="139">
        <f>IFERROR(IF(C14=0,"-",C14/C$4*100),"-")</f>
        <v>14.452744397531667</v>
      </c>
      <c r="D15" s="139">
        <f t="shared" ref="D15:Q15" si="5">IFERROR(IF(D14=0,"-",D14/D$4*100),"-")</f>
        <v>13.900184842883547</v>
      </c>
      <c r="E15" s="139">
        <f t="shared" si="5"/>
        <v>18.449197860962567</v>
      </c>
      <c r="F15" s="139">
        <f t="shared" si="5"/>
        <v>14.035087719298245</v>
      </c>
      <c r="G15" s="139">
        <f t="shared" si="5"/>
        <v>13.300927971718956</v>
      </c>
      <c r="H15" s="139">
        <f t="shared" si="5"/>
        <v>19.536423841059602</v>
      </c>
      <c r="I15" s="139">
        <f t="shared" si="5"/>
        <v>16.067146282973621</v>
      </c>
      <c r="J15" s="139">
        <f t="shared" si="5"/>
        <v>15.787119856887299</v>
      </c>
      <c r="K15" s="139">
        <f t="shared" si="5"/>
        <v>18.421052631578945</v>
      </c>
      <c r="L15" s="139">
        <f t="shared" si="5"/>
        <v>14.405238268461259</v>
      </c>
      <c r="M15" s="139">
        <f t="shared" si="5"/>
        <v>14.543269230769232</v>
      </c>
      <c r="N15" s="139">
        <f t="shared" si="5"/>
        <v>13.043478260869565</v>
      </c>
      <c r="O15" s="139">
        <f t="shared" si="5"/>
        <v>16.674322462103813</v>
      </c>
      <c r="P15" s="139">
        <f t="shared" si="5"/>
        <v>15.368956743002546</v>
      </c>
      <c r="Q15" s="139">
        <f t="shared" si="5"/>
        <v>28.773584905660378</v>
      </c>
    </row>
    <row r="16" spans="1:18" s="89" customFormat="1" ht="19.5" customHeight="1">
      <c r="A16" s="420" t="s">
        <v>705</v>
      </c>
      <c r="B16" s="134" t="s">
        <v>704</v>
      </c>
      <c r="C16" s="137">
        <v>727</v>
      </c>
      <c r="D16" s="137">
        <v>655</v>
      </c>
      <c r="E16" s="137">
        <v>72</v>
      </c>
      <c r="F16" s="137">
        <v>545</v>
      </c>
      <c r="G16" s="137">
        <v>499</v>
      </c>
      <c r="H16" s="137">
        <v>46</v>
      </c>
      <c r="I16" s="137">
        <v>542</v>
      </c>
      <c r="J16" s="137">
        <v>498</v>
      </c>
      <c r="K16" s="137">
        <v>44</v>
      </c>
      <c r="L16" s="137">
        <v>642</v>
      </c>
      <c r="M16" s="137">
        <v>579</v>
      </c>
      <c r="N16" s="137">
        <v>63</v>
      </c>
      <c r="O16" s="137">
        <v>511</v>
      </c>
      <c r="P16" s="137">
        <v>467</v>
      </c>
      <c r="Q16" s="137">
        <v>44</v>
      </c>
    </row>
    <row r="17" spans="1:17" s="90" customFormat="1" ht="19.5" customHeight="1">
      <c r="A17" s="420"/>
      <c r="B17" s="135" t="s">
        <v>351</v>
      </c>
      <c r="C17" s="139">
        <f>IFERROR(IF(C16=0,"-",C16/C$4*100),"-")</f>
        <v>23.611562195518026</v>
      </c>
      <c r="D17" s="139">
        <f t="shared" ref="D17:Q17" si="6">IFERROR(IF(D16=0,"-",D16/D$4*100),"-")</f>
        <v>24.214417744916823</v>
      </c>
      <c r="E17" s="139">
        <f t="shared" si="6"/>
        <v>19.251336898395721</v>
      </c>
      <c r="F17" s="139">
        <f t="shared" si="6"/>
        <v>21.247563352826511</v>
      </c>
      <c r="G17" s="139">
        <f t="shared" si="6"/>
        <v>22.050375607600532</v>
      </c>
      <c r="H17" s="139">
        <f t="shared" si="6"/>
        <v>15.231788079470199</v>
      </c>
      <c r="I17" s="139">
        <f t="shared" si="6"/>
        <v>21.662669864108715</v>
      </c>
      <c r="J17" s="139">
        <f t="shared" si="6"/>
        <v>22.271914132379248</v>
      </c>
      <c r="K17" s="139">
        <f t="shared" si="6"/>
        <v>16.541353383458645</v>
      </c>
      <c r="L17" s="139">
        <f t="shared" si="6"/>
        <v>23.353946889778101</v>
      </c>
      <c r="M17" s="139">
        <f t="shared" si="6"/>
        <v>23.197115384615387</v>
      </c>
      <c r="N17" s="139">
        <f t="shared" si="6"/>
        <v>24.901185770750988</v>
      </c>
      <c r="O17" s="139">
        <f t="shared" si="6"/>
        <v>23.472668810289392</v>
      </c>
      <c r="P17" s="139">
        <f t="shared" si="6"/>
        <v>23.765903307888038</v>
      </c>
      <c r="Q17" s="139">
        <f t="shared" si="6"/>
        <v>20.754716981132077</v>
      </c>
    </row>
    <row r="18" spans="1:17" s="89" customFormat="1" ht="19.5" customHeight="1">
      <c r="A18" s="420" t="s">
        <v>706</v>
      </c>
      <c r="B18" s="134" t="s">
        <v>704</v>
      </c>
      <c r="C18" s="137">
        <v>925</v>
      </c>
      <c r="D18" s="137">
        <v>830</v>
      </c>
      <c r="E18" s="137">
        <v>95</v>
      </c>
      <c r="F18" s="137">
        <v>830</v>
      </c>
      <c r="G18" s="137">
        <v>751</v>
      </c>
      <c r="H18" s="137">
        <v>79</v>
      </c>
      <c r="I18" s="137">
        <v>716</v>
      </c>
      <c r="J18" s="137">
        <v>657</v>
      </c>
      <c r="K18" s="137">
        <v>59</v>
      </c>
      <c r="L18" s="137">
        <v>817</v>
      </c>
      <c r="M18" s="137">
        <v>768</v>
      </c>
      <c r="N18" s="137">
        <v>49</v>
      </c>
      <c r="O18" s="137">
        <v>669</v>
      </c>
      <c r="P18" s="137">
        <v>624</v>
      </c>
      <c r="Q18" s="137">
        <v>45</v>
      </c>
    </row>
    <row r="19" spans="1:17" s="90" customFormat="1" ht="19.5" customHeight="1">
      <c r="A19" s="420"/>
      <c r="B19" s="135" t="s">
        <v>351</v>
      </c>
      <c r="C19" s="139">
        <f>IFERROR(IF(C18=0,"-",C18/C$4*100),"-")</f>
        <v>30.04222150048717</v>
      </c>
      <c r="D19" s="139">
        <f t="shared" ref="D19:Q19" si="7">IFERROR(IF(D18=0,"-",D18/D$4*100),"-")</f>
        <v>30.683918669131238</v>
      </c>
      <c r="E19" s="139">
        <f t="shared" si="7"/>
        <v>25.401069518716579</v>
      </c>
      <c r="F19" s="139">
        <f t="shared" si="7"/>
        <v>32.358674463937618</v>
      </c>
      <c r="G19" s="139">
        <f t="shared" si="7"/>
        <v>33.186036235086171</v>
      </c>
      <c r="H19" s="139">
        <f t="shared" si="7"/>
        <v>26.158940397350992</v>
      </c>
      <c r="I19" s="139">
        <f t="shared" si="7"/>
        <v>28.617106314948042</v>
      </c>
      <c r="J19" s="139">
        <f t="shared" si="7"/>
        <v>29.382826475849733</v>
      </c>
      <c r="K19" s="139">
        <f t="shared" si="7"/>
        <v>22.180451127819548</v>
      </c>
      <c r="L19" s="139">
        <f t="shared" si="7"/>
        <v>29.719898144779922</v>
      </c>
      <c r="M19" s="139">
        <f t="shared" si="7"/>
        <v>30.76923076923077</v>
      </c>
      <c r="N19" s="139">
        <f t="shared" si="7"/>
        <v>19.367588932806324</v>
      </c>
      <c r="O19" s="139">
        <f t="shared" si="7"/>
        <v>30.730362884703723</v>
      </c>
      <c r="P19" s="139">
        <f t="shared" si="7"/>
        <v>31.755725190839694</v>
      </c>
      <c r="Q19" s="139">
        <f t="shared" si="7"/>
        <v>21.226415094339622</v>
      </c>
    </row>
    <row r="20" spans="1:17" s="89" customFormat="1" ht="19.5" customHeight="1">
      <c r="A20" s="420" t="s">
        <v>707</v>
      </c>
      <c r="B20" s="134" t="s">
        <v>702</v>
      </c>
      <c r="C20" s="137">
        <v>469</v>
      </c>
      <c r="D20" s="137">
        <v>418</v>
      </c>
      <c r="E20" s="137">
        <v>51</v>
      </c>
      <c r="F20" s="137">
        <v>429</v>
      </c>
      <c r="G20" s="137">
        <v>382</v>
      </c>
      <c r="H20" s="137">
        <v>47</v>
      </c>
      <c r="I20" s="137">
        <v>418</v>
      </c>
      <c r="J20" s="137">
        <v>377</v>
      </c>
      <c r="K20" s="137">
        <v>41</v>
      </c>
      <c r="L20" s="137">
        <v>430</v>
      </c>
      <c r="M20" s="137">
        <v>404</v>
      </c>
      <c r="N20" s="137">
        <v>26</v>
      </c>
      <c r="O20" s="137">
        <v>345</v>
      </c>
      <c r="P20" s="137">
        <v>324</v>
      </c>
      <c r="Q20" s="137">
        <v>21</v>
      </c>
    </row>
    <row r="21" spans="1:17" s="90" customFormat="1" ht="19.5" customHeight="1">
      <c r="A21" s="422"/>
      <c r="B21" s="136" t="s">
        <v>351</v>
      </c>
      <c r="C21" s="140">
        <f>IFERROR(IF(C20=0,"-",C20/C$4*100),"-")</f>
        <v>15.232218252679441</v>
      </c>
      <c r="D21" s="140">
        <f t="shared" ref="D21:Q21" si="8">IFERROR(IF(D20=0,"-",D20/D$4*100),"-")</f>
        <v>15.452865064695009</v>
      </c>
      <c r="E21" s="140">
        <f t="shared" si="8"/>
        <v>13.636363636363635</v>
      </c>
      <c r="F21" s="140">
        <f t="shared" si="8"/>
        <v>16.725146198830409</v>
      </c>
      <c r="G21" s="140">
        <f t="shared" si="8"/>
        <v>16.880247459125055</v>
      </c>
      <c r="H21" s="140">
        <f t="shared" si="8"/>
        <v>15.562913907284766</v>
      </c>
      <c r="I21" s="140">
        <f t="shared" si="8"/>
        <v>16.706634692246205</v>
      </c>
      <c r="J21" s="140">
        <f t="shared" si="8"/>
        <v>16.86046511627907</v>
      </c>
      <c r="K21" s="140">
        <f t="shared" si="8"/>
        <v>15.413533834586465</v>
      </c>
      <c r="L21" s="140">
        <f t="shared" si="8"/>
        <v>15.642051655147327</v>
      </c>
      <c r="M21" s="140">
        <f t="shared" si="8"/>
        <v>16.185897435897438</v>
      </c>
      <c r="N21" s="140">
        <f t="shared" si="8"/>
        <v>10.276679841897234</v>
      </c>
      <c r="O21" s="140">
        <f t="shared" si="8"/>
        <v>15.847496554892054</v>
      </c>
      <c r="P21" s="140">
        <f t="shared" si="8"/>
        <v>16.488549618320612</v>
      </c>
      <c r="Q21" s="140">
        <f t="shared" si="8"/>
        <v>9.9056603773584904</v>
      </c>
    </row>
    <row r="22" spans="1:17" s="82" customFormat="1" ht="18" customHeight="1">
      <c r="A22" s="229" t="s">
        <v>433</v>
      </c>
      <c r="C22" s="91"/>
      <c r="D22" s="91"/>
      <c r="E22" s="91"/>
      <c r="F22" s="91"/>
      <c r="G22" s="91"/>
      <c r="H22" s="91"/>
    </row>
    <row r="23" spans="1:17" s="82" customFormat="1" ht="14.25">
      <c r="A23" s="217" t="s">
        <v>346</v>
      </c>
      <c r="F23" s="227"/>
      <c r="G23" s="230"/>
    </row>
    <row r="24" spans="1:17">
      <c r="C24" s="231"/>
      <c r="D24" s="231"/>
      <c r="E24" s="231"/>
      <c r="F24" s="231"/>
      <c r="G24" s="231"/>
      <c r="H24" s="231"/>
    </row>
  </sheetData>
  <mergeCells count="16">
    <mergeCell ref="A16:A17"/>
    <mergeCell ref="A18:A19"/>
    <mergeCell ref="A20:A21"/>
    <mergeCell ref="A4:A5"/>
    <mergeCell ref="A6:A7"/>
    <mergeCell ref="A8:A9"/>
    <mergeCell ref="A10:A11"/>
    <mergeCell ref="A12:A13"/>
    <mergeCell ref="A14:A15"/>
    <mergeCell ref="A1:Q1"/>
    <mergeCell ref="A2:B3"/>
    <mergeCell ref="C2:E2"/>
    <mergeCell ref="F2:H2"/>
    <mergeCell ref="I2:K2"/>
    <mergeCell ref="L2:N2"/>
    <mergeCell ref="O2:Q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4"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22"/>
  <sheetViews>
    <sheetView showGridLines="0" zoomScale="90" zoomScaleNormal="90" workbookViewId="0">
      <pane xSplit="2" ySplit="2" topLeftCell="F3" activePane="bottomRight" state="frozen"/>
      <selection activeCell="F17" sqref="F17"/>
      <selection pane="topRight" activeCell="F17" sqref="F17"/>
      <selection pane="bottomLeft" activeCell="F17" sqref="F17"/>
      <selection pane="bottomRight" activeCell="F17" sqref="F17"/>
    </sheetView>
  </sheetViews>
  <sheetFormatPr defaultColWidth="8.875" defaultRowHeight="15.75"/>
  <cols>
    <col min="1" max="1" width="14.125" style="81" customWidth="1"/>
    <col min="2" max="2" width="6.375" style="81" customWidth="1"/>
    <col min="3" max="17" width="8.625" style="81" customWidth="1"/>
    <col min="18" max="256" width="9" style="81"/>
    <col min="257" max="257" width="21.375" style="81" customWidth="1"/>
    <col min="258" max="258" width="6.375" style="81" customWidth="1"/>
    <col min="259" max="267" width="6.625" style="81" customWidth="1"/>
    <col min="268" max="273" width="7.125" style="81" customWidth="1"/>
    <col min="274" max="512" width="9" style="81"/>
    <col min="513" max="513" width="21.375" style="81" customWidth="1"/>
    <col min="514" max="514" width="6.375" style="81" customWidth="1"/>
    <col min="515" max="523" width="6.625" style="81" customWidth="1"/>
    <col min="524" max="529" width="7.125" style="81" customWidth="1"/>
    <col min="530" max="768" width="9" style="81"/>
    <col min="769" max="769" width="21.375" style="81" customWidth="1"/>
    <col min="770" max="770" width="6.375" style="81" customWidth="1"/>
    <col min="771" max="779" width="6.625" style="81" customWidth="1"/>
    <col min="780" max="785" width="7.125" style="81" customWidth="1"/>
    <col min="786" max="1024" width="9" style="81"/>
    <col min="1025" max="1025" width="21.375" style="81" customWidth="1"/>
    <col min="1026" max="1026" width="6.375" style="81" customWidth="1"/>
    <col min="1027" max="1035" width="6.625" style="81" customWidth="1"/>
    <col min="1036" max="1041" width="7.125" style="81" customWidth="1"/>
    <col min="1042" max="1280" width="9" style="81"/>
    <col min="1281" max="1281" width="21.375" style="81" customWidth="1"/>
    <col min="1282" max="1282" width="6.375" style="81" customWidth="1"/>
    <col min="1283" max="1291" width="6.625" style="81" customWidth="1"/>
    <col min="1292" max="1297" width="7.125" style="81" customWidth="1"/>
    <col min="1298" max="1536" width="9" style="81"/>
    <col min="1537" max="1537" width="21.375" style="81" customWidth="1"/>
    <col min="1538" max="1538" width="6.375" style="81" customWidth="1"/>
    <col min="1539" max="1547" width="6.625" style="81" customWidth="1"/>
    <col min="1548" max="1553" width="7.125" style="81" customWidth="1"/>
    <col min="1554" max="1792" width="9" style="81"/>
    <col min="1793" max="1793" width="21.375" style="81" customWidth="1"/>
    <col min="1794" max="1794" width="6.375" style="81" customWidth="1"/>
    <col min="1795" max="1803" width="6.625" style="81" customWidth="1"/>
    <col min="1804" max="1809" width="7.125" style="81" customWidth="1"/>
    <col min="1810" max="2048" width="9" style="81"/>
    <col min="2049" max="2049" width="21.375" style="81" customWidth="1"/>
    <col min="2050" max="2050" width="6.375" style="81" customWidth="1"/>
    <col min="2051" max="2059" width="6.625" style="81" customWidth="1"/>
    <col min="2060" max="2065" width="7.125" style="81" customWidth="1"/>
    <col min="2066" max="2304" width="9" style="81"/>
    <col min="2305" max="2305" width="21.375" style="81" customWidth="1"/>
    <col min="2306" max="2306" width="6.375" style="81" customWidth="1"/>
    <col min="2307" max="2315" width="6.625" style="81" customWidth="1"/>
    <col min="2316" max="2321" width="7.125" style="81" customWidth="1"/>
    <col min="2322" max="2560" width="9" style="81"/>
    <col min="2561" max="2561" width="21.375" style="81" customWidth="1"/>
    <col min="2562" max="2562" width="6.375" style="81" customWidth="1"/>
    <col min="2563" max="2571" width="6.625" style="81" customWidth="1"/>
    <col min="2572" max="2577" width="7.125" style="81" customWidth="1"/>
    <col min="2578" max="2816" width="9" style="81"/>
    <col min="2817" max="2817" width="21.375" style="81" customWidth="1"/>
    <col min="2818" max="2818" width="6.375" style="81" customWidth="1"/>
    <col min="2819" max="2827" width="6.625" style="81" customWidth="1"/>
    <col min="2828" max="2833" width="7.125" style="81" customWidth="1"/>
    <col min="2834" max="3072" width="9" style="81"/>
    <col min="3073" max="3073" width="21.375" style="81" customWidth="1"/>
    <col min="3074" max="3074" width="6.375" style="81" customWidth="1"/>
    <col min="3075" max="3083" width="6.625" style="81" customWidth="1"/>
    <col min="3084" max="3089" width="7.125" style="81" customWidth="1"/>
    <col min="3090" max="3328" width="9" style="81"/>
    <col min="3329" max="3329" width="21.375" style="81" customWidth="1"/>
    <col min="3330" max="3330" width="6.375" style="81" customWidth="1"/>
    <col min="3331" max="3339" width="6.625" style="81" customWidth="1"/>
    <col min="3340" max="3345" width="7.125" style="81" customWidth="1"/>
    <col min="3346" max="3584" width="9" style="81"/>
    <col min="3585" max="3585" width="21.375" style="81" customWidth="1"/>
    <col min="3586" max="3586" width="6.375" style="81" customWidth="1"/>
    <col min="3587" max="3595" width="6.625" style="81" customWidth="1"/>
    <col min="3596" max="3601" width="7.125" style="81" customWidth="1"/>
    <col min="3602" max="3840" width="9" style="81"/>
    <col min="3841" max="3841" width="21.375" style="81" customWidth="1"/>
    <col min="3842" max="3842" width="6.375" style="81" customWidth="1"/>
    <col min="3843" max="3851" width="6.625" style="81" customWidth="1"/>
    <col min="3852" max="3857" width="7.125" style="81" customWidth="1"/>
    <col min="3858" max="4096" width="9" style="81"/>
    <col min="4097" max="4097" width="21.375" style="81" customWidth="1"/>
    <col min="4098" max="4098" width="6.375" style="81" customWidth="1"/>
    <col min="4099" max="4107" width="6.625" style="81" customWidth="1"/>
    <col min="4108" max="4113" width="7.125" style="81" customWidth="1"/>
    <col min="4114" max="4352" width="9" style="81"/>
    <col min="4353" max="4353" width="21.375" style="81" customWidth="1"/>
    <col min="4354" max="4354" width="6.375" style="81" customWidth="1"/>
    <col min="4355" max="4363" width="6.625" style="81" customWidth="1"/>
    <col min="4364" max="4369" width="7.125" style="81" customWidth="1"/>
    <col min="4370" max="4608" width="9" style="81"/>
    <col min="4609" max="4609" width="21.375" style="81" customWidth="1"/>
    <col min="4610" max="4610" width="6.375" style="81" customWidth="1"/>
    <col min="4611" max="4619" width="6.625" style="81" customWidth="1"/>
    <col min="4620" max="4625" width="7.125" style="81" customWidth="1"/>
    <col min="4626" max="4864" width="9" style="81"/>
    <col min="4865" max="4865" width="21.375" style="81" customWidth="1"/>
    <col min="4866" max="4866" width="6.375" style="81" customWidth="1"/>
    <col min="4867" max="4875" width="6.625" style="81" customWidth="1"/>
    <col min="4876" max="4881" width="7.125" style="81" customWidth="1"/>
    <col min="4882" max="5120" width="9" style="81"/>
    <col min="5121" max="5121" width="21.375" style="81" customWidth="1"/>
    <col min="5122" max="5122" width="6.375" style="81" customWidth="1"/>
    <col min="5123" max="5131" width="6.625" style="81" customWidth="1"/>
    <col min="5132" max="5137" width="7.125" style="81" customWidth="1"/>
    <col min="5138" max="5376" width="9" style="81"/>
    <col min="5377" max="5377" width="21.375" style="81" customWidth="1"/>
    <col min="5378" max="5378" width="6.375" style="81" customWidth="1"/>
    <col min="5379" max="5387" width="6.625" style="81" customWidth="1"/>
    <col min="5388" max="5393" width="7.125" style="81" customWidth="1"/>
    <col min="5394" max="5632" width="9" style="81"/>
    <col min="5633" max="5633" width="21.375" style="81" customWidth="1"/>
    <col min="5634" max="5634" width="6.375" style="81" customWidth="1"/>
    <col min="5635" max="5643" width="6.625" style="81" customWidth="1"/>
    <col min="5644" max="5649" width="7.125" style="81" customWidth="1"/>
    <col min="5650" max="5888" width="9" style="81"/>
    <col min="5889" max="5889" width="21.375" style="81" customWidth="1"/>
    <col min="5890" max="5890" width="6.375" style="81" customWidth="1"/>
    <col min="5891" max="5899" width="6.625" style="81" customWidth="1"/>
    <col min="5900" max="5905" width="7.125" style="81" customWidth="1"/>
    <col min="5906" max="6144" width="9" style="81"/>
    <col min="6145" max="6145" width="21.375" style="81" customWidth="1"/>
    <col min="6146" max="6146" width="6.375" style="81" customWidth="1"/>
    <col min="6147" max="6155" width="6.625" style="81" customWidth="1"/>
    <col min="6156" max="6161" width="7.125" style="81" customWidth="1"/>
    <col min="6162" max="6400" width="9" style="81"/>
    <col min="6401" max="6401" width="21.375" style="81" customWidth="1"/>
    <col min="6402" max="6402" width="6.375" style="81" customWidth="1"/>
    <col min="6403" max="6411" width="6.625" style="81" customWidth="1"/>
    <col min="6412" max="6417" width="7.125" style="81" customWidth="1"/>
    <col min="6418" max="6656" width="9" style="81"/>
    <col min="6657" max="6657" width="21.375" style="81" customWidth="1"/>
    <col min="6658" max="6658" width="6.375" style="81" customWidth="1"/>
    <col min="6659" max="6667" width="6.625" style="81" customWidth="1"/>
    <col min="6668" max="6673" width="7.125" style="81" customWidth="1"/>
    <col min="6674" max="6912" width="9" style="81"/>
    <col min="6913" max="6913" width="21.375" style="81" customWidth="1"/>
    <col min="6914" max="6914" width="6.375" style="81" customWidth="1"/>
    <col min="6915" max="6923" width="6.625" style="81" customWidth="1"/>
    <col min="6924" max="6929" width="7.125" style="81" customWidth="1"/>
    <col min="6930" max="7168" width="9" style="81"/>
    <col min="7169" max="7169" width="21.375" style="81" customWidth="1"/>
    <col min="7170" max="7170" width="6.375" style="81" customWidth="1"/>
    <col min="7171" max="7179" width="6.625" style="81" customWidth="1"/>
    <col min="7180" max="7185" width="7.125" style="81" customWidth="1"/>
    <col min="7186" max="7424" width="9" style="81"/>
    <col min="7425" max="7425" width="21.375" style="81" customWidth="1"/>
    <col min="7426" max="7426" width="6.375" style="81" customWidth="1"/>
    <col min="7427" max="7435" width="6.625" style="81" customWidth="1"/>
    <col min="7436" max="7441" width="7.125" style="81" customWidth="1"/>
    <col min="7442" max="7680" width="9" style="81"/>
    <col min="7681" max="7681" width="21.375" style="81" customWidth="1"/>
    <col min="7682" max="7682" width="6.375" style="81" customWidth="1"/>
    <col min="7683" max="7691" width="6.625" style="81" customWidth="1"/>
    <col min="7692" max="7697" width="7.125" style="81" customWidth="1"/>
    <col min="7698" max="7936" width="9" style="81"/>
    <col min="7937" max="7937" width="21.375" style="81" customWidth="1"/>
    <col min="7938" max="7938" width="6.375" style="81" customWidth="1"/>
    <col min="7939" max="7947" width="6.625" style="81" customWidth="1"/>
    <col min="7948" max="7953" width="7.125" style="81" customWidth="1"/>
    <col min="7954" max="8192" width="9" style="81"/>
    <col min="8193" max="8193" width="21.375" style="81" customWidth="1"/>
    <col min="8194" max="8194" width="6.375" style="81" customWidth="1"/>
    <col min="8195" max="8203" width="6.625" style="81" customWidth="1"/>
    <col min="8204" max="8209" width="7.125" style="81" customWidth="1"/>
    <col min="8210" max="8448" width="9" style="81"/>
    <col min="8449" max="8449" width="21.375" style="81" customWidth="1"/>
    <col min="8450" max="8450" width="6.375" style="81" customWidth="1"/>
    <col min="8451" max="8459" width="6.625" style="81" customWidth="1"/>
    <col min="8460" max="8465" width="7.125" style="81" customWidth="1"/>
    <col min="8466" max="8704" width="9" style="81"/>
    <col min="8705" max="8705" width="21.375" style="81" customWidth="1"/>
    <col min="8706" max="8706" width="6.375" style="81" customWidth="1"/>
    <col min="8707" max="8715" width="6.625" style="81" customWidth="1"/>
    <col min="8716" max="8721" width="7.125" style="81" customWidth="1"/>
    <col min="8722" max="8960" width="9" style="81"/>
    <col min="8961" max="8961" width="21.375" style="81" customWidth="1"/>
    <col min="8962" max="8962" width="6.375" style="81" customWidth="1"/>
    <col min="8963" max="8971" width="6.625" style="81" customWidth="1"/>
    <col min="8972" max="8977" width="7.125" style="81" customWidth="1"/>
    <col min="8978" max="9216" width="9" style="81"/>
    <col min="9217" max="9217" width="21.375" style="81" customWidth="1"/>
    <col min="9218" max="9218" width="6.375" style="81" customWidth="1"/>
    <col min="9219" max="9227" width="6.625" style="81" customWidth="1"/>
    <col min="9228" max="9233" width="7.125" style="81" customWidth="1"/>
    <col min="9234" max="9472" width="9" style="81"/>
    <col min="9473" max="9473" width="21.375" style="81" customWidth="1"/>
    <col min="9474" max="9474" width="6.375" style="81" customWidth="1"/>
    <col min="9475" max="9483" width="6.625" style="81" customWidth="1"/>
    <col min="9484" max="9489" width="7.125" style="81" customWidth="1"/>
    <col min="9490" max="9728" width="9" style="81"/>
    <col min="9729" max="9729" width="21.375" style="81" customWidth="1"/>
    <col min="9730" max="9730" width="6.375" style="81" customWidth="1"/>
    <col min="9731" max="9739" width="6.625" style="81" customWidth="1"/>
    <col min="9740" max="9745" width="7.125" style="81" customWidth="1"/>
    <col min="9746" max="9984" width="9" style="81"/>
    <col min="9985" max="9985" width="21.375" style="81" customWidth="1"/>
    <col min="9986" max="9986" width="6.375" style="81" customWidth="1"/>
    <col min="9987" max="9995" width="6.625" style="81" customWidth="1"/>
    <col min="9996" max="10001" width="7.125" style="81" customWidth="1"/>
    <col min="10002" max="10240" width="9" style="81"/>
    <col min="10241" max="10241" width="21.375" style="81" customWidth="1"/>
    <col min="10242" max="10242" width="6.375" style="81" customWidth="1"/>
    <col min="10243" max="10251" width="6.625" style="81" customWidth="1"/>
    <col min="10252" max="10257" width="7.125" style="81" customWidth="1"/>
    <col min="10258" max="10496" width="9" style="81"/>
    <col min="10497" max="10497" width="21.375" style="81" customWidth="1"/>
    <col min="10498" max="10498" width="6.375" style="81" customWidth="1"/>
    <col min="10499" max="10507" width="6.625" style="81" customWidth="1"/>
    <col min="10508" max="10513" width="7.125" style="81" customWidth="1"/>
    <col min="10514" max="10752" width="9" style="81"/>
    <col min="10753" max="10753" width="21.375" style="81" customWidth="1"/>
    <col min="10754" max="10754" width="6.375" style="81" customWidth="1"/>
    <col min="10755" max="10763" width="6.625" style="81" customWidth="1"/>
    <col min="10764" max="10769" width="7.125" style="81" customWidth="1"/>
    <col min="10770" max="11008" width="9" style="81"/>
    <col min="11009" max="11009" width="21.375" style="81" customWidth="1"/>
    <col min="11010" max="11010" width="6.375" style="81" customWidth="1"/>
    <col min="11011" max="11019" width="6.625" style="81" customWidth="1"/>
    <col min="11020" max="11025" width="7.125" style="81" customWidth="1"/>
    <col min="11026" max="11264" width="9" style="81"/>
    <col min="11265" max="11265" width="21.375" style="81" customWidth="1"/>
    <col min="11266" max="11266" width="6.375" style="81" customWidth="1"/>
    <col min="11267" max="11275" width="6.625" style="81" customWidth="1"/>
    <col min="11276" max="11281" width="7.125" style="81" customWidth="1"/>
    <col min="11282" max="11520" width="9" style="81"/>
    <col min="11521" max="11521" width="21.375" style="81" customWidth="1"/>
    <col min="11522" max="11522" width="6.375" style="81" customWidth="1"/>
    <col min="11523" max="11531" width="6.625" style="81" customWidth="1"/>
    <col min="11532" max="11537" width="7.125" style="81" customWidth="1"/>
    <col min="11538" max="11776" width="9" style="81"/>
    <col min="11777" max="11777" width="21.375" style="81" customWidth="1"/>
    <col min="11778" max="11778" width="6.375" style="81" customWidth="1"/>
    <col min="11779" max="11787" width="6.625" style="81" customWidth="1"/>
    <col min="11788" max="11793" width="7.125" style="81" customWidth="1"/>
    <col min="11794" max="12032" width="9" style="81"/>
    <col min="12033" max="12033" width="21.375" style="81" customWidth="1"/>
    <col min="12034" max="12034" width="6.375" style="81" customWidth="1"/>
    <col min="12035" max="12043" width="6.625" style="81" customWidth="1"/>
    <col min="12044" max="12049" width="7.125" style="81" customWidth="1"/>
    <col min="12050" max="12288" width="9" style="81"/>
    <col min="12289" max="12289" width="21.375" style="81" customWidth="1"/>
    <col min="12290" max="12290" width="6.375" style="81" customWidth="1"/>
    <col min="12291" max="12299" width="6.625" style="81" customWidth="1"/>
    <col min="12300" max="12305" width="7.125" style="81" customWidth="1"/>
    <col min="12306" max="12544" width="9" style="81"/>
    <col min="12545" max="12545" width="21.375" style="81" customWidth="1"/>
    <col min="12546" max="12546" width="6.375" style="81" customWidth="1"/>
    <col min="12547" max="12555" width="6.625" style="81" customWidth="1"/>
    <col min="12556" max="12561" width="7.125" style="81" customWidth="1"/>
    <col min="12562" max="12800" width="9" style="81"/>
    <col min="12801" max="12801" width="21.375" style="81" customWidth="1"/>
    <col min="12802" max="12802" width="6.375" style="81" customWidth="1"/>
    <col min="12803" max="12811" width="6.625" style="81" customWidth="1"/>
    <col min="12812" max="12817" width="7.125" style="81" customWidth="1"/>
    <col min="12818" max="13056" width="9" style="81"/>
    <col min="13057" max="13057" width="21.375" style="81" customWidth="1"/>
    <col min="13058" max="13058" width="6.375" style="81" customWidth="1"/>
    <col min="13059" max="13067" width="6.625" style="81" customWidth="1"/>
    <col min="13068" max="13073" width="7.125" style="81" customWidth="1"/>
    <col min="13074" max="13312" width="9" style="81"/>
    <col min="13313" max="13313" width="21.375" style="81" customWidth="1"/>
    <col min="13314" max="13314" width="6.375" style="81" customWidth="1"/>
    <col min="13315" max="13323" width="6.625" style="81" customWidth="1"/>
    <col min="13324" max="13329" width="7.125" style="81" customWidth="1"/>
    <col min="13330" max="13568" width="9" style="81"/>
    <col min="13569" max="13569" width="21.375" style="81" customWidth="1"/>
    <col min="13570" max="13570" width="6.375" style="81" customWidth="1"/>
    <col min="13571" max="13579" width="6.625" style="81" customWidth="1"/>
    <col min="13580" max="13585" width="7.125" style="81" customWidth="1"/>
    <col min="13586" max="13824" width="9" style="81"/>
    <col min="13825" max="13825" width="21.375" style="81" customWidth="1"/>
    <col min="13826" max="13826" width="6.375" style="81" customWidth="1"/>
    <col min="13827" max="13835" width="6.625" style="81" customWidth="1"/>
    <col min="13836" max="13841" width="7.125" style="81" customWidth="1"/>
    <col min="13842" max="14080" width="9" style="81"/>
    <col min="14081" max="14081" width="21.375" style="81" customWidth="1"/>
    <col min="14082" max="14082" width="6.375" style="81" customWidth="1"/>
    <col min="14083" max="14091" width="6.625" style="81" customWidth="1"/>
    <col min="14092" max="14097" width="7.125" style="81" customWidth="1"/>
    <col min="14098" max="14336" width="9" style="81"/>
    <col min="14337" max="14337" width="21.375" style="81" customWidth="1"/>
    <col min="14338" max="14338" width="6.375" style="81" customWidth="1"/>
    <col min="14339" max="14347" width="6.625" style="81" customWidth="1"/>
    <col min="14348" max="14353" width="7.125" style="81" customWidth="1"/>
    <col min="14354" max="14592" width="9" style="81"/>
    <col min="14593" max="14593" width="21.375" style="81" customWidth="1"/>
    <col min="14594" max="14594" width="6.375" style="81" customWidth="1"/>
    <col min="14595" max="14603" width="6.625" style="81" customWidth="1"/>
    <col min="14604" max="14609" width="7.125" style="81" customWidth="1"/>
    <col min="14610" max="14848" width="9" style="81"/>
    <col min="14849" max="14849" width="21.375" style="81" customWidth="1"/>
    <col min="14850" max="14850" width="6.375" style="81" customWidth="1"/>
    <col min="14851" max="14859" width="6.625" style="81" customWidth="1"/>
    <col min="14860" max="14865" width="7.125" style="81" customWidth="1"/>
    <col min="14866" max="15104" width="9" style="81"/>
    <col min="15105" max="15105" width="21.375" style="81" customWidth="1"/>
    <col min="15106" max="15106" width="6.375" style="81" customWidth="1"/>
    <col min="15107" max="15115" width="6.625" style="81" customWidth="1"/>
    <col min="15116" max="15121" width="7.125" style="81" customWidth="1"/>
    <col min="15122" max="15360" width="9" style="81"/>
    <col min="15361" max="15361" width="21.375" style="81" customWidth="1"/>
    <col min="15362" max="15362" width="6.375" style="81" customWidth="1"/>
    <col min="15363" max="15371" width="6.625" style="81" customWidth="1"/>
    <col min="15372" max="15377" width="7.125" style="81" customWidth="1"/>
    <col min="15378" max="15616" width="9" style="81"/>
    <col min="15617" max="15617" width="21.375" style="81" customWidth="1"/>
    <col min="15618" max="15618" width="6.375" style="81" customWidth="1"/>
    <col min="15619" max="15627" width="6.625" style="81" customWidth="1"/>
    <col min="15628" max="15633" width="7.125" style="81" customWidth="1"/>
    <col min="15634" max="15872" width="9" style="81"/>
    <col min="15873" max="15873" width="21.375" style="81" customWidth="1"/>
    <col min="15874" max="15874" width="6.375" style="81" customWidth="1"/>
    <col min="15875" max="15883" width="6.625" style="81" customWidth="1"/>
    <col min="15884" max="15889" width="7.125" style="81" customWidth="1"/>
    <col min="15890" max="16128" width="9" style="81"/>
    <col min="16129" max="16129" width="21.375" style="81" customWidth="1"/>
    <col min="16130" max="16130" width="6.375" style="81" customWidth="1"/>
    <col min="16131" max="16139" width="6.625" style="81" customWidth="1"/>
    <col min="16140" max="16145" width="7.125" style="81" customWidth="1"/>
    <col min="16146" max="16384" width="9" style="81"/>
  </cols>
  <sheetData>
    <row r="1" spans="1:17" s="80" customFormat="1" ht="25.35" customHeight="1">
      <c r="A1" s="423" t="s">
        <v>554</v>
      </c>
      <c r="B1" s="423"/>
      <c r="C1" s="423"/>
      <c r="D1" s="423"/>
      <c r="E1" s="423"/>
      <c r="F1" s="423"/>
      <c r="G1" s="423"/>
      <c r="H1" s="423"/>
      <c r="I1" s="423"/>
      <c r="J1" s="423"/>
      <c r="K1" s="423"/>
      <c r="L1" s="423"/>
      <c r="M1" s="423"/>
      <c r="N1" s="423"/>
      <c r="O1" s="423"/>
      <c r="P1" s="423"/>
      <c r="Q1" s="423"/>
    </row>
    <row r="2" spans="1:17" ht="26.25" customHeight="1">
      <c r="A2" s="424"/>
      <c r="B2" s="424"/>
      <c r="C2" s="426" t="s">
        <v>680</v>
      </c>
      <c r="D2" s="426"/>
      <c r="E2" s="426"/>
      <c r="F2" s="426" t="s">
        <v>35</v>
      </c>
      <c r="G2" s="426"/>
      <c r="H2" s="426"/>
      <c r="I2" s="426" t="s">
        <v>36</v>
      </c>
      <c r="J2" s="426"/>
      <c r="K2" s="426"/>
      <c r="L2" s="426" t="s">
        <v>37</v>
      </c>
      <c r="M2" s="426"/>
      <c r="N2" s="426"/>
      <c r="O2" s="426" t="s">
        <v>567</v>
      </c>
      <c r="P2" s="426"/>
      <c r="Q2" s="426"/>
    </row>
    <row r="3" spans="1:17" ht="26.25" customHeight="1">
      <c r="A3" s="425"/>
      <c r="B3" s="425"/>
      <c r="C3" s="188" t="s">
        <v>347</v>
      </c>
      <c r="D3" s="190" t="s">
        <v>708</v>
      </c>
      <c r="E3" s="190" t="s">
        <v>709</v>
      </c>
      <c r="F3" s="188" t="s">
        <v>710</v>
      </c>
      <c r="G3" s="190" t="s">
        <v>708</v>
      </c>
      <c r="H3" s="190" t="s">
        <v>349</v>
      </c>
      <c r="I3" s="188" t="s">
        <v>710</v>
      </c>
      <c r="J3" s="190" t="s">
        <v>708</v>
      </c>
      <c r="K3" s="190" t="s">
        <v>709</v>
      </c>
      <c r="L3" s="188" t="s">
        <v>347</v>
      </c>
      <c r="M3" s="190" t="s">
        <v>708</v>
      </c>
      <c r="N3" s="190" t="s">
        <v>709</v>
      </c>
      <c r="O3" s="188" t="s">
        <v>710</v>
      </c>
      <c r="P3" s="190" t="s">
        <v>708</v>
      </c>
      <c r="Q3" s="190" t="s">
        <v>349</v>
      </c>
    </row>
    <row r="4" spans="1:17" s="89" customFormat="1" ht="26.25" customHeight="1">
      <c r="A4" s="420" t="s">
        <v>354</v>
      </c>
      <c r="B4" s="134" t="s">
        <v>711</v>
      </c>
      <c r="C4" s="137">
        <f t="shared" ref="C4:Q5" si="0">SUM(C14,C10,C6,C8,C12,C16,C18)</f>
        <v>3079</v>
      </c>
      <c r="D4" s="137">
        <f t="shared" si="0"/>
        <v>2705</v>
      </c>
      <c r="E4" s="137">
        <f t="shared" si="0"/>
        <v>374</v>
      </c>
      <c r="F4" s="137">
        <f t="shared" si="0"/>
        <v>2565</v>
      </c>
      <c r="G4" s="137">
        <f t="shared" si="0"/>
        <v>2263</v>
      </c>
      <c r="H4" s="137">
        <f t="shared" si="0"/>
        <v>302</v>
      </c>
      <c r="I4" s="137">
        <f t="shared" si="0"/>
        <v>2502</v>
      </c>
      <c r="J4" s="137">
        <f t="shared" si="0"/>
        <v>2236</v>
      </c>
      <c r="K4" s="137">
        <f t="shared" si="0"/>
        <v>266</v>
      </c>
      <c r="L4" s="137">
        <f t="shared" si="0"/>
        <v>2749</v>
      </c>
      <c r="M4" s="137">
        <f t="shared" si="0"/>
        <v>2496</v>
      </c>
      <c r="N4" s="138">
        <f t="shared" si="0"/>
        <v>253</v>
      </c>
      <c r="O4" s="138">
        <f t="shared" si="0"/>
        <v>2177</v>
      </c>
      <c r="P4" s="138">
        <f t="shared" si="0"/>
        <v>1965</v>
      </c>
      <c r="Q4" s="138">
        <f t="shared" si="0"/>
        <v>212</v>
      </c>
    </row>
    <row r="5" spans="1:17" s="90" customFormat="1" ht="26.25" customHeight="1">
      <c r="A5" s="420"/>
      <c r="B5" s="135" t="s">
        <v>351</v>
      </c>
      <c r="C5" s="139">
        <f t="shared" si="0"/>
        <v>100</v>
      </c>
      <c r="D5" s="139">
        <f t="shared" si="0"/>
        <v>100</v>
      </c>
      <c r="E5" s="139">
        <f t="shared" si="0"/>
        <v>99.999999999999986</v>
      </c>
      <c r="F5" s="139">
        <f t="shared" si="0"/>
        <v>100</v>
      </c>
      <c r="G5" s="139">
        <f t="shared" si="0"/>
        <v>99.999999999999986</v>
      </c>
      <c r="H5" s="139">
        <f t="shared" si="0"/>
        <v>99.999999999999986</v>
      </c>
      <c r="I5" s="139">
        <f t="shared" si="0"/>
        <v>100</v>
      </c>
      <c r="J5" s="139">
        <f t="shared" si="0"/>
        <v>99.999999999999986</v>
      </c>
      <c r="K5" s="139">
        <f t="shared" si="0"/>
        <v>100</v>
      </c>
      <c r="L5" s="139">
        <f t="shared" si="0"/>
        <v>99.999999999999986</v>
      </c>
      <c r="M5" s="139">
        <f t="shared" si="0"/>
        <v>99.999999999999986</v>
      </c>
      <c r="N5" s="139">
        <f t="shared" si="0"/>
        <v>100</v>
      </c>
      <c r="O5" s="139">
        <f t="shared" si="0"/>
        <v>99.999999999999986</v>
      </c>
      <c r="P5" s="139">
        <f t="shared" si="0"/>
        <v>100</v>
      </c>
      <c r="Q5" s="139">
        <f t="shared" si="0"/>
        <v>100</v>
      </c>
    </row>
    <row r="6" spans="1:17" s="89" customFormat="1" ht="26.25" customHeight="1">
      <c r="A6" s="420" t="s">
        <v>712</v>
      </c>
      <c r="B6" s="134" t="s">
        <v>711</v>
      </c>
      <c r="C6" s="137">
        <v>1321</v>
      </c>
      <c r="D6" s="137">
        <v>1171</v>
      </c>
      <c r="E6" s="137">
        <v>150</v>
      </c>
      <c r="F6" s="137">
        <v>1095</v>
      </c>
      <c r="G6" s="137">
        <v>978</v>
      </c>
      <c r="H6" s="137">
        <v>117</v>
      </c>
      <c r="I6" s="137">
        <v>1111</v>
      </c>
      <c r="J6" s="137">
        <v>1008</v>
      </c>
      <c r="K6" s="137">
        <v>103</v>
      </c>
      <c r="L6" s="137">
        <v>1281</v>
      </c>
      <c r="M6" s="137">
        <v>1187</v>
      </c>
      <c r="N6" s="137">
        <v>94</v>
      </c>
      <c r="O6" s="137">
        <v>1099</v>
      </c>
      <c r="P6" s="137">
        <v>1014</v>
      </c>
      <c r="Q6" s="137">
        <v>85</v>
      </c>
    </row>
    <row r="7" spans="1:17" s="90" customFormat="1" ht="26.25" customHeight="1">
      <c r="A7" s="420"/>
      <c r="B7" s="135" t="s">
        <v>351</v>
      </c>
      <c r="C7" s="139">
        <f>IFERROR(C6/C$4*100,"-")</f>
        <v>42.903540110425467</v>
      </c>
      <c r="D7" s="139">
        <f t="shared" ref="D7:Q7" si="1">IFERROR(D6/D$4*100,"-")</f>
        <v>43.290203327171909</v>
      </c>
      <c r="E7" s="139">
        <f t="shared" si="1"/>
        <v>40.106951871657756</v>
      </c>
      <c r="F7" s="139">
        <f t="shared" si="1"/>
        <v>42.690058479532162</v>
      </c>
      <c r="G7" s="139">
        <f t="shared" si="1"/>
        <v>43.216968625718074</v>
      </c>
      <c r="H7" s="139">
        <f t="shared" si="1"/>
        <v>38.741721854304636</v>
      </c>
      <c r="I7" s="139">
        <f t="shared" si="1"/>
        <v>44.40447641886491</v>
      </c>
      <c r="J7" s="139">
        <f t="shared" si="1"/>
        <v>45.080500894454381</v>
      </c>
      <c r="K7" s="139">
        <f t="shared" si="1"/>
        <v>38.721804511278194</v>
      </c>
      <c r="L7" s="139">
        <f t="shared" si="1"/>
        <v>46.598763186613311</v>
      </c>
      <c r="M7" s="139">
        <f t="shared" si="1"/>
        <v>47.556089743589745</v>
      </c>
      <c r="N7" s="139">
        <f t="shared" si="1"/>
        <v>37.154150197628461</v>
      </c>
      <c r="O7" s="139">
        <f t="shared" si="1"/>
        <v>50.482315112540185</v>
      </c>
      <c r="P7" s="139">
        <f t="shared" si="1"/>
        <v>51.603053435114496</v>
      </c>
      <c r="Q7" s="139">
        <f t="shared" si="1"/>
        <v>40.094339622641513</v>
      </c>
    </row>
    <row r="8" spans="1:17" s="89" customFormat="1" ht="26.25" customHeight="1">
      <c r="A8" s="420" t="s">
        <v>713</v>
      </c>
      <c r="B8" s="134" t="s">
        <v>711</v>
      </c>
      <c r="C8" s="137">
        <v>1663</v>
      </c>
      <c r="D8" s="137">
        <v>1447</v>
      </c>
      <c r="E8" s="137">
        <v>216</v>
      </c>
      <c r="F8" s="137">
        <v>1377</v>
      </c>
      <c r="G8" s="137">
        <v>1202</v>
      </c>
      <c r="H8" s="137">
        <v>175</v>
      </c>
      <c r="I8" s="137">
        <v>1344</v>
      </c>
      <c r="J8" s="137">
        <v>1186</v>
      </c>
      <c r="K8" s="137">
        <v>158</v>
      </c>
      <c r="L8" s="137">
        <v>1407</v>
      </c>
      <c r="M8" s="137">
        <v>1260</v>
      </c>
      <c r="N8" s="137">
        <v>147</v>
      </c>
      <c r="O8" s="137">
        <v>1033</v>
      </c>
      <c r="P8" s="137">
        <v>910</v>
      </c>
      <c r="Q8" s="137">
        <v>123</v>
      </c>
    </row>
    <row r="9" spans="1:17" s="90" customFormat="1" ht="26.25" customHeight="1">
      <c r="A9" s="420"/>
      <c r="B9" s="135" t="s">
        <v>351</v>
      </c>
      <c r="C9" s="139">
        <f>IFERROR(C8/C$4*100,"-")</f>
        <v>54.01104254628126</v>
      </c>
      <c r="D9" s="139">
        <f t="shared" ref="D9:Q9" si="2">IFERROR(D8/D$4*100,"-")</f>
        <v>53.493530499075781</v>
      </c>
      <c r="E9" s="139">
        <f t="shared" si="2"/>
        <v>57.754010695187162</v>
      </c>
      <c r="F9" s="139">
        <f t="shared" si="2"/>
        <v>53.684210526315788</v>
      </c>
      <c r="G9" s="139">
        <f t="shared" si="2"/>
        <v>53.115333627927527</v>
      </c>
      <c r="H9" s="139">
        <f t="shared" si="2"/>
        <v>57.947019867549663</v>
      </c>
      <c r="I9" s="139">
        <f t="shared" si="2"/>
        <v>53.717026378896882</v>
      </c>
      <c r="J9" s="139">
        <f t="shared" si="2"/>
        <v>53.041144901610018</v>
      </c>
      <c r="K9" s="139">
        <f t="shared" si="2"/>
        <v>59.398496240601503</v>
      </c>
      <c r="L9" s="139">
        <f t="shared" si="2"/>
        <v>51.182248090214621</v>
      </c>
      <c r="M9" s="139">
        <f t="shared" si="2"/>
        <v>50.480769230769226</v>
      </c>
      <c r="N9" s="139">
        <f t="shared" si="2"/>
        <v>58.102766798418969</v>
      </c>
      <c r="O9" s="139">
        <f t="shared" si="2"/>
        <v>47.450620119430411</v>
      </c>
      <c r="P9" s="139">
        <f t="shared" si="2"/>
        <v>46.310432569974552</v>
      </c>
      <c r="Q9" s="139">
        <f t="shared" si="2"/>
        <v>58.018867924528308</v>
      </c>
    </row>
    <row r="10" spans="1:17" s="89" customFormat="1" ht="26.25" customHeight="1">
      <c r="A10" s="420" t="s">
        <v>714</v>
      </c>
      <c r="B10" s="134" t="s">
        <v>711</v>
      </c>
      <c r="C10" s="137">
        <v>76</v>
      </c>
      <c r="D10" s="137">
        <v>71</v>
      </c>
      <c r="E10" s="137">
        <v>5</v>
      </c>
      <c r="F10" s="137">
        <v>74</v>
      </c>
      <c r="G10" s="137">
        <v>66</v>
      </c>
      <c r="H10" s="137">
        <v>8</v>
      </c>
      <c r="I10" s="137">
        <v>32</v>
      </c>
      <c r="J10" s="137">
        <v>28</v>
      </c>
      <c r="K10" s="137">
        <v>4</v>
      </c>
      <c r="L10" s="137">
        <v>45</v>
      </c>
      <c r="M10" s="137">
        <v>34</v>
      </c>
      <c r="N10" s="137">
        <v>11</v>
      </c>
      <c r="O10" s="137">
        <v>28</v>
      </c>
      <c r="P10" s="137">
        <v>24</v>
      </c>
      <c r="Q10" s="137">
        <v>4</v>
      </c>
    </row>
    <row r="11" spans="1:17" s="90" customFormat="1" ht="26.25" customHeight="1">
      <c r="A11" s="420"/>
      <c r="B11" s="135" t="s">
        <v>351</v>
      </c>
      <c r="C11" s="139">
        <f>IFERROR(C10/C$4*100,"-")</f>
        <v>2.4683338746346215</v>
      </c>
      <c r="D11" s="139">
        <f t="shared" ref="D11:Q11" si="3">IFERROR(D10/D$4*100,"-")</f>
        <v>2.6247689463955637</v>
      </c>
      <c r="E11" s="139">
        <f t="shared" si="3"/>
        <v>1.3368983957219251</v>
      </c>
      <c r="F11" s="139">
        <f t="shared" si="3"/>
        <v>2.8849902534113059</v>
      </c>
      <c r="G11" s="139">
        <f t="shared" si="3"/>
        <v>2.9164825452938579</v>
      </c>
      <c r="H11" s="139">
        <f t="shared" si="3"/>
        <v>2.6490066225165565</v>
      </c>
      <c r="I11" s="139">
        <f t="shared" si="3"/>
        <v>1.2789768185451638</v>
      </c>
      <c r="J11" s="139">
        <f t="shared" si="3"/>
        <v>1.2522361359570662</v>
      </c>
      <c r="K11" s="139">
        <f t="shared" si="3"/>
        <v>1.5037593984962405</v>
      </c>
      <c r="L11" s="139">
        <f t="shared" si="3"/>
        <v>1.6369588941433248</v>
      </c>
      <c r="M11" s="139">
        <f t="shared" si="3"/>
        <v>1.3621794871794872</v>
      </c>
      <c r="N11" s="139">
        <f t="shared" si="3"/>
        <v>4.3478260869565215</v>
      </c>
      <c r="O11" s="139">
        <f t="shared" si="3"/>
        <v>1.2861736334405145</v>
      </c>
      <c r="P11" s="139">
        <f t="shared" si="3"/>
        <v>1.2213740458015268</v>
      </c>
      <c r="Q11" s="139">
        <f t="shared" si="3"/>
        <v>1.8867924528301887</v>
      </c>
    </row>
    <row r="12" spans="1:17" s="89" customFormat="1" ht="26.25" customHeight="1">
      <c r="A12" s="420" t="s">
        <v>715</v>
      </c>
      <c r="B12" s="134" t="s">
        <v>711</v>
      </c>
      <c r="C12" s="137">
        <v>18</v>
      </c>
      <c r="D12" s="137">
        <v>15</v>
      </c>
      <c r="E12" s="137">
        <v>3</v>
      </c>
      <c r="F12" s="137">
        <v>17</v>
      </c>
      <c r="G12" s="137">
        <v>15</v>
      </c>
      <c r="H12" s="137">
        <v>2</v>
      </c>
      <c r="I12" s="137">
        <v>14</v>
      </c>
      <c r="J12" s="137">
        <v>13</v>
      </c>
      <c r="K12" s="137">
        <v>1</v>
      </c>
      <c r="L12" s="137">
        <v>15</v>
      </c>
      <c r="M12" s="137">
        <v>14</v>
      </c>
      <c r="N12" s="137">
        <v>1</v>
      </c>
      <c r="O12" s="137">
        <v>17</v>
      </c>
      <c r="P12" s="137">
        <v>17</v>
      </c>
      <c r="Q12" s="137" t="s">
        <v>9</v>
      </c>
    </row>
    <row r="13" spans="1:17" s="90" customFormat="1" ht="26.25" customHeight="1">
      <c r="A13" s="420"/>
      <c r="B13" s="135" t="s">
        <v>351</v>
      </c>
      <c r="C13" s="139">
        <f>IFERROR(C12/C$4*100,"-")</f>
        <v>0.58460539136083145</v>
      </c>
      <c r="D13" s="139">
        <f t="shared" ref="D13:Q13" si="4">IFERROR(D12/D$4*100,"-")</f>
        <v>0.55452865064695012</v>
      </c>
      <c r="E13" s="139">
        <f t="shared" si="4"/>
        <v>0.80213903743315518</v>
      </c>
      <c r="F13" s="139">
        <f t="shared" si="4"/>
        <v>0.66276803118908378</v>
      </c>
      <c r="G13" s="139">
        <f t="shared" si="4"/>
        <v>0.66283694211224042</v>
      </c>
      <c r="H13" s="139">
        <f t="shared" si="4"/>
        <v>0.66225165562913912</v>
      </c>
      <c r="I13" s="139">
        <f t="shared" si="4"/>
        <v>0.55955235811350923</v>
      </c>
      <c r="J13" s="139">
        <f t="shared" si="4"/>
        <v>0.58139534883720934</v>
      </c>
      <c r="K13" s="139">
        <f t="shared" si="4"/>
        <v>0.37593984962406013</v>
      </c>
      <c r="L13" s="139">
        <f t="shared" si="4"/>
        <v>0.54565296471444158</v>
      </c>
      <c r="M13" s="139">
        <f t="shared" si="4"/>
        <v>0.5608974358974359</v>
      </c>
      <c r="N13" s="139">
        <f t="shared" si="4"/>
        <v>0.39525691699604742</v>
      </c>
      <c r="O13" s="139">
        <f t="shared" si="4"/>
        <v>0.78089113458888371</v>
      </c>
      <c r="P13" s="139">
        <f t="shared" si="4"/>
        <v>0.86513994910941472</v>
      </c>
      <c r="Q13" s="139" t="str">
        <f t="shared" si="4"/>
        <v>-</v>
      </c>
    </row>
    <row r="14" spans="1:17" s="89" customFormat="1" ht="26.25" customHeight="1">
      <c r="A14" s="420" t="s">
        <v>716</v>
      </c>
      <c r="B14" s="134" t="s">
        <v>350</v>
      </c>
      <c r="C14" s="137" t="s">
        <v>9</v>
      </c>
      <c r="D14" s="137" t="s">
        <v>9</v>
      </c>
      <c r="E14" s="137" t="s">
        <v>9</v>
      </c>
      <c r="F14" s="137" t="s">
        <v>9</v>
      </c>
      <c r="G14" s="137" t="s">
        <v>9</v>
      </c>
      <c r="H14" s="137" t="s">
        <v>9</v>
      </c>
      <c r="I14" s="137">
        <v>1</v>
      </c>
      <c r="J14" s="137">
        <v>1</v>
      </c>
      <c r="K14" s="137" t="s">
        <v>9</v>
      </c>
      <c r="L14" s="137" t="s">
        <v>9</v>
      </c>
      <c r="M14" s="137" t="s">
        <v>9</v>
      </c>
      <c r="N14" s="137" t="s">
        <v>9</v>
      </c>
      <c r="O14" s="137" t="s">
        <v>9</v>
      </c>
      <c r="P14" s="137" t="s">
        <v>9</v>
      </c>
      <c r="Q14" s="137" t="s">
        <v>9</v>
      </c>
    </row>
    <row r="15" spans="1:17" s="90" customFormat="1" ht="26.25" customHeight="1">
      <c r="A15" s="420"/>
      <c r="B15" s="135" t="s">
        <v>351</v>
      </c>
      <c r="C15" s="139" t="str">
        <f>IFERROR(C14/C$4*100,"-")</f>
        <v>-</v>
      </c>
      <c r="D15" s="139" t="str">
        <f t="shared" ref="D15:Q15" si="5">IFERROR(D14/D$4*100,"-")</f>
        <v>-</v>
      </c>
      <c r="E15" s="139" t="str">
        <f t="shared" si="5"/>
        <v>-</v>
      </c>
      <c r="F15" s="139" t="str">
        <f t="shared" si="5"/>
        <v>-</v>
      </c>
      <c r="G15" s="139" t="str">
        <f t="shared" si="5"/>
        <v>-</v>
      </c>
      <c r="H15" s="139" t="str">
        <f t="shared" si="5"/>
        <v>-</v>
      </c>
      <c r="I15" s="139">
        <f t="shared" si="5"/>
        <v>3.9968025579536368E-2</v>
      </c>
      <c r="J15" s="139">
        <f t="shared" si="5"/>
        <v>4.4722719141323794E-2</v>
      </c>
      <c r="K15" s="139" t="str">
        <f t="shared" si="5"/>
        <v>-</v>
      </c>
      <c r="L15" s="139" t="str">
        <f t="shared" si="5"/>
        <v>-</v>
      </c>
      <c r="M15" s="139" t="str">
        <f t="shared" si="5"/>
        <v>-</v>
      </c>
      <c r="N15" s="139" t="str">
        <f t="shared" si="5"/>
        <v>-</v>
      </c>
      <c r="O15" s="139" t="str">
        <f t="shared" si="5"/>
        <v>-</v>
      </c>
      <c r="P15" s="139" t="str">
        <f t="shared" si="5"/>
        <v>-</v>
      </c>
      <c r="Q15" s="139" t="str">
        <f t="shared" si="5"/>
        <v>-</v>
      </c>
    </row>
    <row r="16" spans="1:17" s="89" customFormat="1" ht="26.25" customHeight="1">
      <c r="A16" s="420" t="s">
        <v>717</v>
      </c>
      <c r="B16" s="134" t="s">
        <v>711</v>
      </c>
      <c r="C16" s="137" t="s">
        <v>9</v>
      </c>
      <c r="D16" s="137" t="s">
        <v>9</v>
      </c>
      <c r="E16" s="137" t="s">
        <v>9</v>
      </c>
      <c r="F16" s="137" t="s">
        <v>9</v>
      </c>
      <c r="G16" s="137" t="s">
        <v>9</v>
      </c>
      <c r="H16" s="137" t="s">
        <v>9</v>
      </c>
      <c r="I16" s="137" t="s">
        <v>9</v>
      </c>
      <c r="J16" s="137" t="s">
        <v>9</v>
      </c>
      <c r="K16" s="137" t="s">
        <v>9</v>
      </c>
      <c r="L16" s="137" t="s">
        <v>9</v>
      </c>
      <c r="M16" s="137" t="s">
        <v>9</v>
      </c>
      <c r="N16" s="137" t="s">
        <v>9</v>
      </c>
      <c r="O16" s="137" t="s">
        <v>9</v>
      </c>
      <c r="P16" s="137" t="s">
        <v>9</v>
      </c>
      <c r="Q16" s="137" t="s">
        <v>9</v>
      </c>
    </row>
    <row r="17" spans="1:17" s="90" customFormat="1" ht="26.25" customHeight="1">
      <c r="A17" s="420"/>
      <c r="B17" s="135" t="s">
        <v>351</v>
      </c>
      <c r="C17" s="139" t="str">
        <f>IFERROR(C16/C$4*100,"-")</f>
        <v>-</v>
      </c>
      <c r="D17" s="139" t="str">
        <f t="shared" ref="D17:Q17" si="6">IFERROR(D16/D$4*100,"-")</f>
        <v>-</v>
      </c>
      <c r="E17" s="139" t="str">
        <f t="shared" si="6"/>
        <v>-</v>
      </c>
      <c r="F17" s="139" t="str">
        <f t="shared" si="6"/>
        <v>-</v>
      </c>
      <c r="G17" s="139" t="str">
        <f t="shared" si="6"/>
        <v>-</v>
      </c>
      <c r="H17" s="139" t="str">
        <f t="shared" si="6"/>
        <v>-</v>
      </c>
      <c r="I17" s="139" t="str">
        <f t="shared" si="6"/>
        <v>-</v>
      </c>
      <c r="J17" s="139" t="str">
        <f t="shared" si="6"/>
        <v>-</v>
      </c>
      <c r="K17" s="139" t="str">
        <f t="shared" si="6"/>
        <v>-</v>
      </c>
      <c r="L17" s="139" t="str">
        <f t="shared" si="6"/>
        <v>-</v>
      </c>
      <c r="M17" s="139" t="str">
        <f t="shared" si="6"/>
        <v>-</v>
      </c>
      <c r="N17" s="139" t="str">
        <f t="shared" si="6"/>
        <v>-</v>
      </c>
      <c r="O17" s="139" t="str">
        <f t="shared" si="6"/>
        <v>-</v>
      </c>
      <c r="P17" s="139" t="str">
        <f t="shared" si="6"/>
        <v>-</v>
      </c>
      <c r="Q17" s="139" t="str">
        <f t="shared" si="6"/>
        <v>-</v>
      </c>
    </row>
    <row r="18" spans="1:17" s="89" customFormat="1" ht="26.25" customHeight="1">
      <c r="A18" s="420" t="s">
        <v>718</v>
      </c>
      <c r="B18" s="134" t="s">
        <v>711</v>
      </c>
      <c r="C18" s="137">
        <v>1</v>
      </c>
      <c r="D18" s="137">
        <v>1</v>
      </c>
      <c r="E18" s="137" t="s">
        <v>9</v>
      </c>
      <c r="F18" s="137">
        <v>2</v>
      </c>
      <c r="G18" s="137">
        <v>2</v>
      </c>
      <c r="H18" s="137" t="s">
        <v>9</v>
      </c>
      <c r="I18" s="137" t="s">
        <v>9</v>
      </c>
      <c r="J18" s="137" t="s">
        <v>9</v>
      </c>
      <c r="K18" s="137" t="s">
        <v>9</v>
      </c>
      <c r="L18" s="137">
        <v>1</v>
      </c>
      <c r="M18" s="137">
        <v>1</v>
      </c>
      <c r="N18" s="137" t="s">
        <v>9</v>
      </c>
      <c r="O18" s="137" t="s">
        <v>9</v>
      </c>
      <c r="P18" s="137" t="s">
        <v>9</v>
      </c>
      <c r="Q18" s="137" t="s">
        <v>9</v>
      </c>
    </row>
    <row r="19" spans="1:17" s="90" customFormat="1" ht="26.25" customHeight="1">
      <c r="A19" s="422"/>
      <c r="B19" s="136" t="s">
        <v>351</v>
      </c>
      <c r="C19" s="140">
        <f>IFERROR(C18/C$4*100,"-")</f>
        <v>3.2478077297823968E-2</v>
      </c>
      <c r="D19" s="140">
        <f t="shared" ref="D19:Q19" si="7">IFERROR(D18/D$4*100,"-")</f>
        <v>3.6968576709796669E-2</v>
      </c>
      <c r="E19" s="140" t="str">
        <f t="shared" si="7"/>
        <v>-</v>
      </c>
      <c r="F19" s="140">
        <f t="shared" si="7"/>
        <v>7.7972709551656916E-2</v>
      </c>
      <c r="G19" s="140">
        <f t="shared" si="7"/>
        <v>8.8378258948298719E-2</v>
      </c>
      <c r="H19" s="140" t="str">
        <f t="shared" si="7"/>
        <v>-</v>
      </c>
      <c r="I19" s="140" t="str">
        <f t="shared" si="7"/>
        <v>-</v>
      </c>
      <c r="J19" s="140" t="str">
        <f t="shared" si="7"/>
        <v>-</v>
      </c>
      <c r="K19" s="140" t="str">
        <f t="shared" si="7"/>
        <v>-</v>
      </c>
      <c r="L19" s="140">
        <f t="shared" si="7"/>
        <v>3.6376864314296105E-2</v>
      </c>
      <c r="M19" s="140">
        <f t="shared" si="7"/>
        <v>4.0064102564102561E-2</v>
      </c>
      <c r="N19" s="140" t="str">
        <f t="shared" si="7"/>
        <v>-</v>
      </c>
      <c r="O19" s="140" t="str">
        <f t="shared" si="7"/>
        <v>-</v>
      </c>
      <c r="P19" s="140" t="str">
        <f t="shared" si="7"/>
        <v>-</v>
      </c>
      <c r="Q19" s="140" t="str">
        <f t="shared" si="7"/>
        <v>-</v>
      </c>
    </row>
    <row r="20" spans="1:17" s="82" customFormat="1" ht="18.600000000000001" customHeight="1">
      <c r="A20" s="217" t="s">
        <v>433</v>
      </c>
      <c r="B20" s="92"/>
      <c r="C20" s="91"/>
      <c r="D20" s="91"/>
      <c r="E20" s="91"/>
      <c r="F20" s="91"/>
      <c r="G20" s="91"/>
      <c r="H20" s="91"/>
      <c r="I20" s="91"/>
      <c r="J20" s="91"/>
      <c r="K20" s="91"/>
      <c r="O20" s="93"/>
      <c r="P20" s="93"/>
      <c r="Q20" s="93"/>
    </row>
    <row r="21" spans="1:17" s="82" customFormat="1" ht="14.1" customHeight="1">
      <c r="A21" s="217" t="s">
        <v>346</v>
      </c>
      <c r="B21" s="92"/>
      <c r="O21" s="93"/>
      <c r="P21" s="93"/>
      <c r="Q21" s="93"/>
    </row>
    <row r="22" spans="1:17">
      <c r="C22" s="231"/>
      <c r="D22" s="231"/>
      <c r="E22" s="231"/>
      <c r="F22" s="231"/>
      <c r="G22" s="231"/>
      <c r="H22" s="231"/>
      <c r="I22" s="231"/>
      <c r="J22" s="231"/>
      <c r="K22" s="231"/>
    </row>
  </sheetData>
  <mergeCells count="15">
    <mergeCell ref="A16:A17"/>
    <mergeCell ref="A18:A19"/>
    <mergeCell ref="A4:A5"/>
    <mergeCell ref="A14:A15"/>
    <mergeCell ref="A10:A11"/>
    <mergeCell ref="A6:A7"/>
    <mergeCell ref="A8:A9"/>
    <mergeCell ref="A12:A13"/>
    <mergeCell ref="A1:Q1"/>
    <mergeCell ref="A2:B3"/>
    <mergeCell ref="C2:E2"/>
    <mergeCell ref="F2:H2"/>
    <mergeCell ref="I2:K2"/>
    <mergeCell ref="L2:N2"/>
    <mergeCell ref="O2:Q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7"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19"/>
  <sheetViews>
    <sheetView showGridLines="0" zoomScale="70" zoomScaleNormal="70" workbookViewId="0">
      <pane xSplit="2" ySplit="2" topLeftCell="E3" activePane="bottomRight" state="frozen"/>
      <selection activeCell="F17" sqref="F17"/>
      <selection pane="topRight" activeCell="F17" sqref="F17"/>
      <selection pane="bottomLeft" activeCell="F17" sqref="F17"/>
      <selection pane="bottomRight" activeCell="F17" sqref="F17"/>
    </sheetView>
  </sheetViews>
  <sheetFormatPr defaultColWidth="8.875" defaultRowHeight="15.75"/>
  <cols>
    <col min="1" max="1" width="19" style="81" customWidth="1"/>
    <col min="2" max="2" width="6.375" style="81" customWidth="1"/>
    <col min="3" max="17" width="10" style="81" bestFit="1" customWidth="1"/>
    <col min="18" max="256" width="9" style="81"/>
    <col min="257" max="257" width="21.375" style="81" customWidth="1"/>
    <col min="258" max="258" width="6.375" style="81" customWidth="1"/>
    <col min="259" max="273" width="7.5" style="81" customWidth="1"/>
    <col min="274" max="512" width="9" style="81"/>
    <col min="513" max="513" width="21.375" style="81" customWidth="1"/>
    <col min="514" max="514" width="6.375" style="81" customWidth="1"/>
    <col min="515" max="529" width="7.5" style="81" customWidth="1"/>
    <col min="530" max="768" width="9" style="81"/>
    <col min="769" max="769" width="21.375" style="81" customWidth="1"/>
    <col min="770" max="770" width="6.375" style="81" customWidth="1"/>
    <col min="771" max="785" width="7.5" style="81" customWidth="1"/>
    <col min="786" max="1024" width="9" style="81"/>
    <col min="1025" max="1025" width="21.375" style="81" customWidth="1"/>
    <col min="1026" max="1026" width="6.375" style="81" customWidth="1"/>
    <col min="1027" max="1041" width="7.5" style="81" customWidth="1"/>
    <col min="1042" max="1280" width="9" style="81"/>
    <col min="1281" max="1281" width="21.375" style="81" customWidth="1"/>
    <col min="1282" max="1282" width="6.375" style="81" customWidth="1"/>
    <col min="1283" max="1297" width="7.5" style="81" customWidth="1"/>
    <col min="1298" max="1536" width="9" style="81"/>
    <col min="1537" max="1537" width="21.375" style="81" customWidth="1"/>
    <col min="1538" max="1538" width="6.375" style="81" customWidth="1"/>
    <col min="1539" max="1553" width="7.5" style="81" customWidth="1"/>
    <col min="1554" max="1792" width="9" style="81"/>
    <col min="1793" max="1793" width="21.375" style="81" customWidth="1"/>
    <col min="1794" max="1794" width="6.375" style="81" customWidth="1"/>
    <col min="1795" max="1809" width="7.5" style="81" customWidth="1"/>
    <col min="1810" max="2048" width="9" style="81"/>
    <col min="2049" max="2049" width="21.375" style="81" customWidth="1"/>
    <col min="2050" max="2050" width="6.375" style="81" customWidth="1"/>
    <col min="2051" max="2065" width="7.5" style="81" customWidth="1"/>
    <col min="2066" max="2304" width="9" style="81"/>
    <col min="2305" max="2305" width="21.375" style="81" customWidth="1"/>
    <col min="2306" max="2306" width="6.375" style="81" customWidth="1"/>
    <col min="2307" max="2321" width="7.5" style="81" customWidth="1"/>
    <col min="2322" max="2560" width="9" style="81"/>
    <col min="2561" max="2561" width="21.375" style="81" customWidth="1"/>
    <col min="2562" max="2562" width="6.375" style="81" customWidth="1"/>
    <col min="2563" max="2577" width="7.5" style="81" customWidth="1"/>
    <col min="2578" max="2816" width="9" style="81"/>
    <col min="2817" max="2817" width="21.375" style="81" customWidth="1"/>
    <col min="2818" max="2818" width="6.375" style="81" customWidth="1"/>
    <col min="2819" max="2833" width="7.5" style="81" customWidth="1"/>
    <col min="2834" max="3072" width="9" style="81"/>
    <col min="3073" max="3073" width="21.375" style="81" customWidth="1"/>
    <col min="3074" max="3074" width="6.375" style="81" customWidth="1"/>
    <col min="3075" max="3089" width="7.5" style="81" customWidth="1"/>
    <col min="3090" max="3328" width="9" style="81"/>
    <col min="3329" max="3329" width="21.375" style="81" customWidth="1"/>
    <col min="3330" max="3330" width="6.375" style="81" customWidth="1"/>
    <col min="3331" max="3345" width="7.5" style="81" customWidth="1"/>
    <col min="3346" max="3584" width="9" style="81"/>
    <col min="3585" max="3585" width="21.375" style="81" customWidth="1"/>
    <col min="3586" max="3586" width="6.375" style="81" customWidth="1"/>
    <col min="3587" max="3601" width="7.5" style="81" customWidth="1"/>
    <col min="3602" max="3840" width="9" style="81"/>
    <col min="3841" max="3841" width="21.375" style="81" customWidth="1"/>
    <col min="3842" max="3842" width="6.375" style="81" customWidth="1"/>
    <col min="3843" max="3857" width="7.5" style="81" customWidth="1"/>
    <col min="3858" max="4096" width="9" style="81"/>
    <col min="4097" max="4097" width="21.375" style="81" customWidth="1"/>
    <col min="4098" max="4098" width="6.375" style="81" customWidth="1"/>
    <col min="4099" max="4113" width="7.5" style="81" customWidth="1"/>
    <col min="4114" max="4352" width="9" style="81"/>
    <col min="4353" max="4353" width="21.375" style="81" customWidth="1"/>
    <col min="4354" max="4354" width="6.375" style="81" customWidth="1"/>
    <col min="4355" max="4369" width="7.5" style="81" customWidth="1"/>
    <col min="4370" max="4608" width="9" style="81"/>
    <col min="4609" max="4609" width="21.375" style="81" customWidth="1"/>
    <col min="4610" max="4610" width="6.375" style="81" customWidth="1"/>
    <col min="4611" max="4625" width="7.5" style="81" customWidth="1"/>
    <col min="4626" max="4864" width="9" style="81"/>
    <col min="4865" max="4865" width="21.375" style="81" customWidth="1"/>
    <col min="4866" max="4866" width="6.375" style="81" customWidth="1"/>
    <col min="4867" max="4881" width="7.5" style="81" customWidth="1"/>
    <col min="4882" max="5120" width="9" style="81"/>
    <col min="5121" max="5121" width="21.375" style="81" customWidth="1"/>
    <col min="5122" max="5122" width="6.375" style="81" customWidth="1"/>
    <col min="5123" max="5137" width="7.5" style="81" customWidth="1"/>
    <col min="5138" max="5376" width="9" style="81"/>
    <col min="5377" max="5377" width="21.375" style="81" customWidth="1"/>
    <col min="5378" max="5378" width="6.375" style="81" customWidth="1"/>
    <col min="5379" max="5393" width="7.5" style="81" customWidth="1"/>
    <col min="5394" max="5632" width="9" style="81"/>
    <col min="5633" max="5633" width="21.375" style="81" customWidth="1"/>
    <col min="5634" max="5634" width="6.375" style="81" customWidth="1"/>
    <col min="5635" max="5649" width="7.5" style="81" customWidth="1"/>
    <col min="5650" max="5888" width="9" style="81"/>
    <col min="5889" max="5889" width="21.375" style="81" customWidth="1"/>
    <col min="5890" max="5890" width="6.375" style="81" customWidth="1"/>
    <col min="5891" max="5905" width="7.5" style="81" customWidth="1"/>
    <col min="5906" max="6144" width="9" style="81"/>
    <col min="6145" max="6145" width="21.375" style="81" customWidth="1"/>
    <col min="6146" max="6146" width="6.375" style="81" customWidth="1"/>
    <col min="6147" max="6161" width="7.5" style="81" customWidth="1"/>
    <col min="6162" max="6400" width="9" style="81"/>
    <col min="6401" max="6401" width="21.375" style="81" customWidth="1"/>
    <col min="6402" max="6402" width="6.375" style="81" customWidth="1"/>
    <col min="6403" max="6417" width="7.5" style="81" customWidth="1"/>
    <col min="6418" max="6656" width="9" style="81"/>
    <col min="6657" max="6657" width="21.375" style="81" customWidth="1"/>
    <col min="6658" max="6658" width="6.375" style="81" customWidth="1"/>
    <col min="6659" max="6673" width="7.5" style="81" customWidth="1"/>
    <col min="6674" max="6912" width="9" style="81"/>
    <col min="6913" max="6913" width="21.375" style="81" customWidth="1"/>
    <col min="6914" max="6914" width="6.375" style="81" customWidth="1"/>
    <col min="6915" max="6929" width="7.5" style="81" customWidth="1"/>
    <col min="6930" max="7168" width="9" style="81"/>
    <col min="7169" max="7169" width="21.375" style="81" customWidth="1"/>
    <col min="7170" max="7170" width="6.375" style="81" customWidth="1"/>
    <col min="7171" max="7185" width="7.5" style="81" customWidth="1"/>
    <col min="7186" max="7424" width="9" style="81"/>
    <col min="7425" max="7425" width="21.375" style="81" customWidth="1"/>
    <col min="7426" max="7426" width="6.375" style="81" customWidth="1"/>
    <col min="7427" max="7441" width="7.5" style="81" customWidth="1"/>
    <col min="7442" max="7680" width="9" style="81"/>
    <col min="7681" max="7681" width="21.375" style="81" customWidth="1"/>
    <col min="7682" max="7682" width="6.375" style="81" customWidth="1"/>
    <col min="7683" max="7697" width="7.5" style="81" customWidth="1"/>
    <col min="7698" max="7936" width="9" style="81"/>
    <col min="7937" max="7937" width="21.375" style="81" customWidth="1"/>
    <col min="7938" max="7938" width="6.375" style="81" customWidth="1"/>
    <col min="7939" max="7953" width="7.5" style="81" customWidth="1"/>
    <col min="7954" max="8192" width="9" style="81"/>
    <col min="8193" max="8193" width="21.375" style="81" customWidth="1"/>
    <col min="8194" max="8194" width="6.375" style="81" customWidth="1"/>
    <col min="8195" max="8209" width="7.5" style="81" customWidth="1"/>
    <col min="8210" max="8448" width="9" style="81"/>
    <col min="8449" max="8449" width="21.375" style="81" customWidth="1"/>
    <col min="8450" max="8450" width="6.375" style="81" customWidth="1"/>
    <col min="8451" max="8465" width="7.5" style="81" customWidth="1"/>
    <col min="8466" max="8704" width="9" style="81"/>
    <col min="8705" max="8705" width="21.375" style="81" customWidth="1"/>
    <col min="8706" max="8706" width="6.375" style="81" customWidth="1"/>
    <col min="8707" max="8721" width="7.5" style="81" customWidth="1"/>
    <col min="8722" max="8960" width="9" style="81"/>
    <col min="8961" max="8961" width="21.375" style="81" customWidth="1"/>
    <col min="8962" max="8962" width="6.375" style="81" customWidth="1"/>
    <col min="8963" max="8977" width="7.5" style="81" customWidth="1"/>
    <col min="8978" max="9216" width="9" style="81"/>
    <col min="9217" max="9217" width="21.375" style="81" customWidth="1"/>
    <col min="9218" max="9218" width="6.375" style="81" customWidth="1"/>
    <col min="9219" max="9233" width="7.5" style="81" customWidth="1"/>
    <col min="9234" max="9472" width="9" style="81"/>
    <col min="9473" max="9473" width="21.375" style="81" customWidth="1"/>
    <col min="9474" max="9474" width="6.375" style="81" customWidth="1"/>
    <col min="9475" max="9489" width="7.5" style="81" customWidth="1"/>
    <col min="9490" max="9728" width="9" style="81"/>
    <col min="9729" max="9729" width="21.375" style="81" customWidth="1"/>
    <col min="9730" max="9730" width="6.375" style="81" customWidth="1"/>
    <col min="9731" max="9745" width="7.5" style="81" customWidth="1"/>
    <col min="9746" max="9984" width="9" style="81"/>
    <col min="9985" max="9985" width="21.375" style="81" customWidth="1"/>
    <col min="9986" max="9986" width="6.375" style="81" customWidth="1"/>
    <col min="9987" max="10001" width="7.5" style="81" customWidth="1"/>
    <col min="10002" max="10240" width="9" style="81"/>
    <col min="10241" max="10241" width="21.375" style="81" customWidth="1"/>
    <col min="10242" max="10242" width="6.375" style="81" customWidth="1"/>
    <col min="10243" max="10257" width="7.5" style="81" customWidth="1"/>
    <col min="10258" max="10496" width="9" style="81"/>
    <col min="10497" max="10497" width="21.375" style="81" customWidth="1"/>
    <col min="10498" max="10498" width="6.375" style="81" customWidth="1"/>
    <col min="10499" max="10513" width="7.5" style="81" customWidth="1"/>
    <col min="10514" max="10752" width="9" style="81"/>
    <col min="10753" max="10753" width="21.375" style="81" customWidth="1"/>
    <col min="10754" max="10754" width="6.375" style="81" customWidth="1"/>
    <col min="10755" max="10769" width="7.5" style="81" customWidth="1"/>
    <col min="10770" max="11008" width="9" style="81"/>
    <col min="11009" max="11009" width="21.375" style="81" customWidth="1"/>
    <col min="11010" max="11010" width="6.375" style="81" customWidth="1"/>
    <col min="11011" max="11025" width="7.5" style="81" customWidth="1"/>
    <col min="11026" max="11264" width="9" style="81"/>
    <col min="11265" max="11265" width="21.375" style="81" customWidth="1"/>
    <col min="11266" max="11266" width="6.375" style="81" customWidth="1"/>
    <col min="11267" max="11281" width="7.5" style="81" customWidth="1"/>
    <col min="11282" max="11520" width="9" style="81"/>
    <col min="11521" max="11521" width="21.375" style="81" customWidth="1"/>
    <col min="11522" max="11522" width="6.375" style="81" customWidth="1"/>
    <col min="11523" max="11537" width="7.5" style="81" customWidth="1"/>
    <col min="11538" max="11776" width="9" style="81"/>
    <col min="11777" max="11777" width="21.375" style="81" customWidth="1"/>
    <col min="11778" max="11778" width="6.375" style="81" customWidth="1"/>
    <col min="11779" max="11793" width="7.5" style="81" customWidth="1"/>
    <col min="11794" max="12032" width="9" style="81"/>
    <col min="12033" max="12033" width="21.375" style="81" customWidth="1"/>
    <col min="12034" max="12034" width="6.375" style="81" customWidth="1"/>
    <col min="12035" max="12049" width="7.5" style="81" customWidth="1"/>
    <col min="12050" max="12288" width="9" style="81"/>
    <col min="12289" max="12289" width="21.375" style="81" customWidth="1"/>
    <col min="12290" max="12290" width="6.375" style="81" customWidth="1"/>
    <col min="12291" max="12305" width="7.5" style="81" customWidth="1"/>
    <col min="12306" max="12544" width="9" style="81"/>
    <col min="12545" max="12545" width="21.375" style="81" customWidth="1"/>
    <col min="12546" max="12546" width="6.375" style="81" customWidth="1"/>
    <col min="12547" max="12561" width="7.5" style="81" customWidth="1"/>
    <col min="12562" max="12800" width="9" style="81"/>
    <col min="12801" max="12801" width="21.375" style="81" customWidth="1"/>
    <col min="12802" max="12802" width="6.375" style="81" customWidth="1"/>
    <col min="12803" max="12817" width="7.5" style="81" customWidth="1"/>
    <col min="12818" max="13056" width="9" style="81"/>
    <col min="13057" max="13057" width="21.375" style="81" customWidth="1"/>
    <col min="13058" max="13058" width="6.375" style="81" customWidth="1"/>
    <col min="13059" max="13073" width="7.5" style="81" customWidth="1"/>
    <col min="13074" max="13312" width="9" style="81"/>
    <col min="13313" max="13313" width="21.375" style="81" customWidth="1"/>
    <col min="13314" max="13314" width="6.375" style="81" customWidth="1"/>
    <col min="13315" max="13329" width="7.5" style="81" customWidth="1"/>
    <col min="13330" max="13568" width="9" style="81"/>
    <col min="13569" max="13569" width="21.375" style="81" customWidth="1"/>
    <col min="13570" max="13570" width="6.375" style="81" customWidth="1"/>
    <col min="13571" max="13585" width="7.5" style="81" customWidth="1"/>
    <col min="13586" max="13824" width="9" style="81"/>
    <col min="13825" max="13825" width="21.375" style="81" customWidth="1"/>
    <col min="13826" max="13826" width="6.375" style="81" customWidth="1"/>
    <col min="13827" max="13841" width="7.5" style="81" customWidth="1"/>
    <col min="13842" max="14080" width="9" style="81"/>
    <col min="14081" max="14081" width="21.375" style="81" customWidth="1"/>
    <col min="14082" max="14082" width="6.375" style="81" customWidth="1"/>
    <col min="14083" max="14097" width="7.5" style="81" customWidth="1"/>
    <col min="14098" max="14336" width="9" style="81"/>
    <col min="14337" max="14337" width="21.375" style="81" customWidth="1"/>
    <col min="14338" max="14338" width="6.375" style="81" customWidth="1"/>
    <col min="14339" max="14353" width="7.5" style="81" customWidth="1"/>
    <col min="14354" max="14592" width="9" style="81"/>
    <col min="14593" max="14593" width="21.375" style="81" customWidth="1"/>
    <col min="14594" max="14594" width="6.375" style="81" customWidth="1"/>
    <col min="14595" max="14609" width="7.5" style="81" customWidth="1"/>
    <col min="14610" max="14848" width="9" style="81"/>
    <col min="14849" max="14849" width="21.375" style="81" customWidth="1"/>
    <col min="14850" max="14850" width="6.375" style="81" customWidth="1"/>
    <col min="14851" max="14865" width="7.5" style="81" customWidth="1"/>
    <col min="14866" max="15104" width="9" style="81"/>
    <col min="15105" max="15105" width="21.375" style="81" customWidth="1"/>
    <col min="15106" max="15106" width="6.375" style="81" customWidth="1"/>
    <col min="15107" max="15121" width="7.5" style="81" customWidth="1"/>
    <col min="15122" max="15360" width="9" style="81"/>
    <col min="15361" max="15361" width="21.375" style="81" customWidth="1"/>
    <col min="15362" max="15362" width="6.375" style="81" customWidth="1"/>
    <col min="15363" max="15377" width="7.5" style="81" customWidth="1"/>
    <col min="15378" max="15616" width="9" style="81"/>
    <col min="15617" max="15617" width="21.375" style="81" customWidth="1"/>
    <col min="15618" max="15618" width="6.375" style="81" customWidth="1"/>
    <col min="15619" max="15633" width="7.5" style="81" customWidth="1"/>
    <col min="15634" max="15872" width="9" style="81"/>
    <col min="15873" max="15873" width="21.375" style="81" customWidth="1"/>
    <col min="15874" max="15874" width="6.375" style="81" customWidth="1"/>
    <col min="15875" max="15889" width="7.5" style="81" customWidth="1"/>
    <col min="15890" max="16128" width="9" style="81"/>
    <col min="16129" max="16129" width="21.375" style="81" customWidth="1"/>
    <col min="16130" max="16130" width="6.375" style="81" customWidth="1"/>
    <col min="16131" max="16145" width="7.5" style="81" customWidth="1"/>
    <col min="16146" max="16384" width="9" style="81"/>
  </cols>
  <sheetData>
    <row r="1" spans="1:17" s="80" customFormat="1" ht="25.35" customHeight="1">
      <c r="A1" s="423" t="s">
        <v>719</v>
      </c>
      <c r="B1" s="423"/>
      <c r="C1" s="423"/>
      <c r="D1" s="423"/>
      <c r="E1" s="423"/>
      <c r="F1" s="423"/>
      <c r="G1" s="423"/>
      <c r="H1" s="423"/>
      <c r="I1" s="423"/>
      <c r="J1" s="423"/>
      <c r="K1" s="423"/>
      <c r="L1" s="423"/>
      <c r="M1" s="423"/>
      <c r="N1" s="423"/>
      <c r="O1" s="423"/>
      <c r="P1" s="423"/>
      <c r="Q1" s="423"/>
    </row>
    <row r="2" spans="1:17" ht="30" customHeight="1">
      <c r="A2" s="419"/>
      <c r="B2" s="419"/>
      <c r="C2" s="426" t="s">
        <v>720</v>
      </c>
      <c r="D2" s="426"/>
      <c r="E2" s="426"/>
      <c r="F2" s="426" t="s">
        <v>35</v>
      </c>
      <c r="G2" s="426"/>
      <c r="H2" s="426"/>
      <c r="I2" s="426" t="s">
        <v>36</v>
      </c>
      <c r="J2" s="426"/>
      <c r="K2" s="426"/>
      <c r="L2" s="426" t="s">
        <v>37</v>
      </c>
      <c r="M2" s="426"/>
      <c r="N2" s="426"/>
      <c r="O2" s="426" t="s">
        <v>567</v>
      </c>
      <c r="P2" s="426"/>
      <c r="Q2" s="426"/>
    </row>
    <row r="3" spans="1:17" ht="30" customHeight="1">
      <c r="A3" s="420"/>
      <c r="B3" s="420"/>
      <c r="C3" s="188" t="s">
        <v>347</v>
      </c>
      <c r="D3" s="190" t="s">
        <v>348</v>
      </c>
      <c r="E3" s="190" t="s">
        <v>349</v>
      </c>
      <c r="F3" s="188" t="s">
        <v>347</v>
      </c>
      <c r="G3" s="190" t="s">
        <v>348</v>
      </c>
      <c r="H3" s="190" t="s">
        <v>349</v>
      </c>
      <c r="I3" s="188" t="s">
        <v>347</v>
      </c>
      <c r="J3" s="190" t="s">
        <v>348</v>
      </c>
      <c r="K3" s="190" t="s">
        <v>349</v>
      </c>
      <c r="L3" s="188" t="s">
        <v>347</v>
      </c>
      <c r="M3" s="190" t="s">
        <v>348</v>
      </c>
      <c r="N3" s="190" t="s">
        <v>349</v>
      </c>
      <c r="O3" s="188" t="s">
        <v>347</v>
      </c>
      <c r="P3" s="190" t="s">
        <v>348</v>
      </c>
      <c r="Q3" s="190" t="s">
        <v>349</v>
      </c>
    </row>
    <row r="4" spans="1:17" ht="30" customHeight="1">
      <c r="A4" s="420" t="s">
        <v>354</v>
      </c>
      <c r="B4" s="187" t="s">
        <v>350</v>
      </c>
      <c r="C4" s="141">
        <f t="shared" ref="C4:Q5" si="0">SUM(C10,C6,C8,C12,C14)</f>
        <v>3079</v>
      </c>
      <c r="D4" s="141">
        <f t="shared" si="0"/>
        <v>2705</v>
      </c>
      <c r="E4" s="141">
        <f t="shared" si="0"/>
        <v>374</v>
      </c>
      <c r="F4" s="141">
        <f t="shared" si="0"/>
        <v>2565</v>
      </c>
      <c r="G4" s="141">
        <f t="shared" si="0"/>
        <v>2263</v>
      </c>
      <c r="H4" s="141">
        <f t="shared" si="0"/>
        <v>302</v>
      </c>
      <c r="I4" s="141">
        <f t="shared" si="0"/>
        <v>2502</v>
      </c>
      <c r="J4" s="141">
        <f t="shared" si="0"/>
        <v>2236</v>
      </c>
      <c r="K4" s="141">
        <f t="shared" si="0"/>
        <v>266</v>
      </c>
      <c r="L4" s="141">
        <f t="shared" si="0"/>
        <v>2749</v>
      </c>
      <c r="M4" s="141">
        <f t="shared" si="0"/>
        <v>2496</v>
      </c>
      <c r="N4" s="141">
        <f t="shared" si="0"/>
        <v>253</v>
      </c>
      <c r="O4" s="142">
        <f t="shared" si="0"/>
        <v>2177</v>
      </c>
      <c r="P4" s="142">
        <f t="shared" si="0"/>
        <v>1965</v>
      </c>
      <c r="Q4" s="142">
        <f t="shared" si="0"/>
        <v>212</v>
      </c>
    </row>
    <row r="5" spans="1:17" ht="30" customHeight="1">
      <c r="A5" s="420"/>
      <c r="B5" s="187" t="s">
        <v>351</v>
      </c>
      <c r="C5" s="143">
        <f t="shared" si="0"/>
        <v>100</v>
      </c>
      <c r="D5" s="143">
        <f t="shared" si="0"/>
        <v>100</v>
      </c>
      <c r="E5" s="143">
        <f t="shared" si="0"/>
        <v>99.999999999999986</v>
      </c>
      <c r="F5" s="143">
        <f t="shared" si="0"/>
        <v>100</v>
      </c>
      <c r="G5" s="143">
        <f t="shared" si="0"/>
        <v>100</v>
      </c>
      <c r="H5" s="143">
        <f t="shared" si="0"/>
        <v>100</v>
      </c>
      <c r="I5" s="143">
        <f t="shared" si="0"/>
        <v>100.00000000000001</v>
      </c>
      <c r="J5" s="143">
        <f t="shared" si="0"/>
        <v>100</v>
      </c>
      <c r="K5" s="143">
        <f t="shared" si="0"/>
        <v>99.999999999999986</v>
      </c>
      <c r="L5" s="143">
        <f t="shared" si="0"/>
        <v>99.999999999999986</v>
      </c>
      <c r="M5" s="143">
        <f t="shared" si="0"/>
        <v>100</v>
      </c>
      <c r="N5" s="143">
        <f t="shared" si="0"/>
        <v>100.00000000000001</v>
      </c>
      <c r="O5" s="143">
        <f t="shared" si="0"/>
        <v>100</v>
      </c>
      <c r="P5" s="143">
        <f t="shared" si="0"/>
        <v>100</v>
      </c>
      <c r="Q5" s="143">
        <f t="shared" si="0"/>
        <v>100</v>
      </c>
    </row>
    <row r="6" spans="1:17" ht="30" customHeight="1">
      <c r="A6" s="420" t="s">
        <v>356</v>
      </c>
      <c r="B6" s="187" t="s">
        <v>350</v>
      </c>
      <c r="C6" s="141">
        <v>1702</v>
      </c>
      <c r="D6" s="141">
        <v>1444</v>
      </c>
      <c r="E6" s="141">
        <v>258</v>
      </c>
      <c r="F6" s="141">
        <v>1774</v>
      </c>
      <c r="G6" s="141">
        <v>1584</v>
      </c>
      <c r="H6" s="141">
        <v>190</v>
      </c>
      <c r="I6" s="141">
        <v>1757</v>
      </c>
      <c r="J6" s="141">
        <v>1585</v>
      </c>
      <c r="K6" s="141">
        <v>172</v>
      </c>
      <c r="L6" s="141">
        <v>1830</v>
      </c>
      <c r="M6" s="141">
        <v>1671</v>
      </c>
      <c r="N6" s="141">
        <v>159</v>
      </c>
      <c r="O6" s="141">
        <v>1372</v>
      </c>
      <c r="P6" s="141">
        <v>1240</v>
      </c>
      <c r="Q6" s="141">
        <v>132</v>
      </c>
    </row>
    <row r="7" spans="1:17" ht="30" customHeight="1">
      <c r="A7" s="420"/>
      <c r="B7" s="187" t="s">
        <v>351</v>
      </c>
      <c r="C7" s="143">
        <f>IFERROR(C6/C$4*100,"-")</f>
        <v>55.277687560896396</v>
      </c>
      <c r="D7" s="143">
        <f t="shared" ref="D7:Q7" si="1">IFERROR(D6/D$4*100,"-")</f>
        <v>53.3826247689464</v>
      </c>
      <c r="E7" s="143">
        <f t="shared" si="1"/>
        <v>68.983957219251337</v>
      </c>
      <c r="F7" s="143">
        <f t="shared" si="1"/>
        <v>69.161793372319693</v>
      </c>
      <c r="G7" s="143">
        <f t="shared" si="1"/>
        <v>69.995581087052585</v>
      </c>
      <c r="H7" s="143">
        <f t="shared" si="1"/>
        <v>62.913907284768214</v>
      </c>
      <c r="I7" s="143">
        <f t="shared" si="1"/>
        <v>70.223820943245414</v>
      </c>
      <c r="J7" s="143">
        <f t="shared" si="1"/>
        <v>70.885509838998203</v>
      </c>
      <c r="K7" s="143">
        <f t="shared" si="1"/>
        <v>64.661654135338338</v>
      </c>
      <c r="L7" s="143">
        <f t="shared" si="1"/>
        <v>66.569661695161869</v>
      </c>
      <c r="M7" s="143">
        <f t="shared" si="1"/>
        <v>66.947115384615387</v>
      </c>
      <c r="N7" s="143">
        <f t="shared" si="1"/>
        <v>62.845849802371546</v>
      </c>
      <c r="O7" s="143">
        <f t="shared" si="1"/>
        <v>63.022508038585215</v>
      </c>
      <c r="P7" s="143">
        <f t="shared" si="1"/>
        <v>63.104325699745544</v>
      </c>
      <c r="Q7" s="143">
        <f t="shared" si="1"/>
        <v>62.264150943396224</v>
      </c>
    </row>
    <row r="8" spans="1:17" ht="30" customHeight="1">
      <c r="A8" s="420" t="s">
        <v>357</v>
      </c>
      <c r="B8" s="187" t="s">
        <v>350</v>
      </c>
      <c r="C8" s="141">
        <v>1255</v>
      </c>
      <c r="D8" s="141">
        <v>1146</v>
      </c>
      <c r="E8" s="141">
        <v>109</v>
      </c>
      <c r="F8" s="141">
        <v>703</v>
      </c>
      <c r="G8" s="141">
        <v>606</v>
      </c>
      <c r="H8" s="141">
        <v>97</v>
      </c>
      <c r="I8" s="141">
        <v>637</v>
      </c>
      <c r="J8" s="141">
        <v>559</v>
      </c>
      <c r="K8" s="141">
        <v>78</v>
      </c>
      <c r="L8" s="141">
        <v>792</v>
      </c>
      <c r="M8" s="141">
        <v>717</v>
      </c>
      <c r="N8" s="141">
        <v>75</v>
      </c>
      <c r="O8" s="141">
        <v>728</v>
      </c>
      <c r="P8" s="141">
        <v>657</v>
      </c>
      <c r="Q8" s="141">
        <v>71</v>
      </c>
    </row>
    <row r="9" spans="1:17" ht="30" customHeight="1">
      <c r="A9" s="420"/>
      <c r="B9" s="187" t="s">
        <v>351</v>
      </c>
      <c r="C9" s="143">
        <f>IFERROR(C8/C$4*100,"-")</f>
        <v>40.75998700876908</v>
      </c>
      <c r="D9" s="143">
        <f t="shared" ref="D9:Q9" si="2">IFERROR(D8/D$4*100,"-")</f>
        <v>42.365988909426989</v>
      </c>
      <c r="E9" s="143">
        <f t="shared" si="2"/>
        <v>29.144385026737968</v>
      </c>
      <c r="F9" s="143">
        <f t="shared" si="2"/>
        <v>27.407407407407408</v>
      </c>
      <c r="G9" s="143">
        <f t="shared" si="2"/>
        <v>26.778612461334511</v>
      </c>
      <c r="H9" s="143">
        <f t="shared" si="2"/>
        <v>32.119205298013242</v>
      </c>
      <c r="I9" s="143">
        <f t="shared" si="2"/>
        <v>25.45963229416467</v>
      </c>
      <c r="J9" s="143">
        <f t="shared" si="2"/>
        <v>25</v>
      </c>
      <c r="K9" s="143">
        <f t="shared" si="2"/>
        <v>29.323308270676691</v>
      </c>
      <c r="L9" s="143">
        <f t="shared" si="2"/>
        <v>28.810476536922518</v>
      </c>
      <c r="M9" s="143">
        <f t="shared" si="2"/>
        <v>28.725961538461537</v>
      </c>
      <c r="N9" s="143">
        <f t="shared" si="2"/>
        <v>29.644268774703558</v>
      </c>
      <c r="O9" s="143">
        <f t="shared" si="2"/>
        <v>33.440514469453376</v>
      </c>
      <c r="P9" s="143">
        <f t="shared" si="2"/>
        <v>33.435114503816791</v>
      </c>
      <c r="Q9" s="143">
        <f t="shared" si="2"/>
        <v>33.490566037735846</v>
      </c>
    </row>
    <row r="10" spans="1:17" ht="30" customHeight="1">
      <c r="A10" s="420" t="s">
        <v>355</v>
      </c>
      <c r="B10" s="187" t="s">
        <v>721</v>
      </c>
      <c r="C10" s="141">
        <v>104</v>
      </c>
      <c r="D10" s="141">
        <v>100</v>
      </c>
      <c r="E10" s="141">
        <v>4</v>
      </c>
      <c r="F10" s="141">
        <v>68</v>
      </c>
      <c r="G10" s="141">
        <v>54</v>
      </c>
      <c r="H10" s="141">
        <v>14</v>
      </c>
      <c r="I10" s="141">
        <v>93</v>
      </c>
      <c r="J10" s="141">
        <v>78</v>
      </c>
      <c r="K10" s="141">
        <v>15</v>
      </c>
      <c r="L10" s="141">
        <v>119</v>
      </c>
      <c r="M10" s="141">
        <v>101</v>
      </c>
      <c r="N10" s="141">
        <v>18</v>
      </c>
      <c r="O10" s="141">
        <v>68</v>
      </c>
      <c r="P10" s="141">
        <v>59</v>
      </c>
      <c r="Q10" s="141">
        <v>9</v>
      </c>
    </row>
    <row r="11" spans="1:17" ht="30" customHeight="1">
      <c r="A11" s="420"/>
      <c r="B11" s="187" t="s">
        <v>351</v>
      </c>
      <c r="C11" s="143">
        <f>IFERROR(C10/C$4*100,"-")</f>
        <v>3.3777200389736932</v>
      </c>
      <c r="D11" s="143">
        <f t="shared" ref="D11:Q11" si="3">IFERROR(D10/D$4*100,"-")</f>
        <v>3.6968576709796674</v>
      </c>
      <c r="E11" s="143">
        <f t="shared" si="3"/>
        <v>1.0695187165775399</v>
      </c>
      <c r="F11" s="143">
        <f t="shared" si="3"/>
        <v>2.6510721247563351</v>
      </c>
      <c r="G11" s="143">
        <f t="shared" si="3"/>
        <v>2.3862129916040651</v>
      </c>
      <c r="H11" s="143">
        <f t="shared" si="3"/>
        <v>4.6357615894039732</v>
      </c>
      <c r="I11" s="143">
        <f t="shared" si="3"/>
        <v>3.7170263788968825</v>
      </c>
      <c r="J11" s="143">
        <f t="shared" si="3"/>
        <v>3.4883720930232558</v>
      </c>
      <c r="K11" s="143">
        <f t="shared" si="3"/>
        <v>5.6390977443609023</v>
      </c>
      <c r="L11" s="143">
        <f t="shared" si="3"/>
        <v>4.3288468534012363</v>
      </c>
      <c r="M11" s="143">
        <f t="shared" si="3"/>
        <v>4.0464743589743595</v>
      </c>
      <c r="N11" s="143">
        <f t="shared" si="3"/>
        <v>7.1146245059288544</v>
      </c>
      <c r="O11" s="143">
        <f t="shared" si="3"/>
        <v>3.1235645383555348</v>
      </c>
      <c r="P11" s="143">
        <f t="shared" si="3"/>
        <v>3.0025445292620865</v>
      </c>
      <c r="Q11" s="143">
        <f t="shared" si="3"/>
        <v>4.2452830188679247</v>
      </c>
    </row>
    <row r="12" spans="1:17" ht="30" customHeight="1">
      <c r="A12" s="420" t="s">
        <v>358</v>
      </c>
      <c r="B12" s="187" t="s">
        <v>722</v>
      </c>
      <c r="C12" s="141">
        <v>12</v>
      </c>
      <c r="D12" s="141">
        <v>10</v>
      </c>
      <c r="E12" s="141">
        <v>2</v>
      </c>
      <c r="F12" s="141">
        <v>10</v>
      </c>
      <c r="G12" s="141">
        <v>9</v>
      </c>
      <c r="H12" s="141">
        <v>1</v>
      </c>
      <c r="I12" s="141">
        <v>6</v>
      </c>
      <c r="J12" s="141">
        <v>6</v>
      </c>
      <c r="K12" s="141">
        <v>0</v>
      </c>
      <c r="L12" s="141">
        <v>1</v>
      </c>
      <c r="M12" s="141">
        <v>1</v>
      </c>
      <c r="N12" s="141">
        <v>0</v>
      </c>
      <c r="O12" s="141">
        <v>5</v>
      </c>
      <c r="P12" s="141">
        <v>5</v>
      </c>
      <c r="Q12" s="141">
        <v>0</v>
      </c>
    </row>
    <row r="13" spans="1:17" ht="30" customHeight="1">
      <c r="A13" s="420"/>
      <c r="B13" s="187" t="s">
        <v>351</v>
      </c>
      <c r="C13" s="143">
        <f>IFERROR(C12/C$4*100,"-")</f>
        <v>0.38973692757388761</v>
      </c>
      <c r="D13" s="143">
        <f t="shared" ref="D13:Q13" si="4">IFERROR(D12/D$4*100,"-")</f>
        <v>0.36968576709796674</v>
      </c>
      <c r="E13" s="143">
        <f t="shared" si="4"/>
        <v>0.53475935828876997</v>
      </c>
      <c r="F13" s="143">
        <f t="shared" si="4"/>
        <v>0.38986354775828458</v>
      </c>
      <c r="G13" s="143">
        <f t="shared" si="4"/>
        <v>0.3977021652673442</v>
      </c>
      <c r="H13" s="143">
        <f t="shared" si="4"/>
        <v>0.33112582781456956</v>
      </c>
      <c r="I13" s="143">
        <f t="shared" si="4"/>
        <v>0.23980815347721821</v>
      </c>
      <c r="J13" s="143">
        <f t="shared" si="4"/>
        <v>0.26833631484794274</v>
      </c>
      <c r="K13" s="143">
        <f t="shared" si="4"/>
        <v>0</v>
      </c>
      <c r="L13" s="143">
        <f t="shared" si="4"/>
        <v>3.6376864314296105E-2</v>
      </c>
      <c r="M13" s="143">
        <f t="shared" si="4"/>
        <v>4.0064102564102561E-2</v>
      </c>
      <c r="N13" s="143">
        <f t="shared" si="4"/>
        <v>0</v>
      </c>
      <c r="O13" s="143">
        <f t="shared" si="4"/>
        <v>0.22967386311437757</v>
      </c>
      <c r="P13" s="143">
        <f t="shared" si="4"/>
        <v>0.2544529262086514</v>
      </c>
      <c r="Q13" s="143">
        <f t="shared" si="4"/>
        <v>0</v>
      </c>
    </row>
    <row r="14" spans="1:17" ht="30" customHeight="1">
      <c r="A14" s="420" t="s">
        <v>359</v>
      </c>
      <c r="B14" s="187" t="s">
        <v>350</v>
      </c>
      <c r="C14" s="141">
        <v>6</v>
      </c>
      <c r="D14" s="141">
        <v>5</v>
      </c>
      <c r="E14" s="141">
        <v>1</v>
      </c>
      <c r="F14" s="141">
        <v>10</v>
      </c>
      <c r="G14" s="141">
        <v>10</v>
      </c>
      <c r="H14" s="141">
        <v>0</v>
      </c>
      <c r="I14" s="141">
        <v>9</v>
      </c>
      <c r="J14" s="141">
        <v>8</v>
      </c>
      <c r="K14" s="141">
        <v>1</v>
      </c>
      <c r="L14" s="141">
        <v>7</v>
      </c>
      <c r="M14" s="141">
        <v>6</v>
      </c>
      <c r="N14" s="141">
        <v>1</v>
      </c>
      <c r="O14" s="141">
        <v>4</v>
      </c>
      <c r="P14" s="141">
        <v>4</v>
      </c>
      <c r="Q14" s="141">
        <v>0</v>
      </c>
    </row>
    <row r="15" spans="1:17" ht="30" customHeight="1">
      <c r="A15" s="422"/>
      <c r="B15" s="188" t="s">
        <v>351</v>
      </c>
      <c r="C15" s="144">
        <f>IFERROR(C14/C$4*100,"-")</f>
        <v>0.19486846378694381</v>
      </c>
      <c r="D15" s="144">
        <f t="shared" ref="D15:Q15" si="5">IFERROR(D14/D$4*100,"-")</f>
        <v>0.18484288354898337</v>
      </c>
      <c r="E15" s="144">
        <f t="shared" si="5"/>
        <v>0.26737967914438499</v>
      </c>
      <c r="F15" s="144">
        <f t="shared" si="5"/>
        <v>0.38986354775828458</v>
      </c>
      <c r="G15" s="144">
        <f t="shared" si="5"/>
        <v>0.44189129474149363</v>
      </c>
      <c r="H15" s="144">
        <f t="shared" si="5"/>
        <v>0</v>
      </c>
      <c r="I15" s="144">
        <f t="shared" si="5"/>
        <v>0.35971223021582738</v>
      </c>
      <c r="J15" s="144">
        <f t="shared" si="5"/>
        <v>0.35778175313059035</v>
      </c>
      <c r="K15" s="144">
        <f t="shared" si="5"/>
        <v>0.37593984962406013</v>
      </c>
      <c r="L15" s="144">
        <f t="shared" si="5"/>
        <v>0.25463805020007274</v>
      </c>
      <c r="M15" s="144">
        <f t="shared" si="5"/>
        <v>0.24038461538461539</v>
      </c>
      <c r="N15" s="144">
        <f t="shared" si="5"/>
        <v>0.39525691699604742</v>
      </c>
      <c r="O15" s="144">
        <f t="shared" si="5"/>
        <v>0.18373909049150206</v>
      </c>
      <c r="P15" s="144">
        <f t="shared" si="5"/>
        <v>0.20356234096692111</v>
      </c>
      <c r="Q15" s="144">
        <f t="shared" si="5"/>
        <v>0</v>
      </c>
    </row>
    <row r="16" spans="1:17" s="82" customFormat="1" ht="12.75">
      <c r="A16" s="82" t="s">
        <v>433</v>
      </c>
      <c r="B16" s="92"/>
      <c r="C16" s="91"/>
      <c r="D16" s="91"/>
      <c r="E16" s="91"/>
      <c r="F16" s="91"/>
      <c r="G16" s="91"/>
      <c r="H16" s="91"/>
    </row>
    <row r="17" spans="1:8" s="82" customFormat="1" ht="14.25">
      <c r="A17" s="82" t="s">
        <v>346</v>
      </c>
      <c r="B17" s="92"/>
    </row>
    <row r="18" spans="1:8">
      <c r="B18" s="187"/>
      <c r="C18" s="94"/>
      <c r="D18" s="94"/>
      <c r="E18" s="94"/>
      <c r="F18" s="94"/>
      <c r="G18" s="94"/>
      <c r="H18" s="94"/>
    </row>
    <row r="19" spans="1:8">
      <c r="B19" s="187"/>
    </row>
  </sheetData>
  <mergeCells count="13">
    <mergeCell ref="A14:A15"/>
    <mergeCell ref="A1:Q1"/>
    <mergeCell ref="A2:B3"/>
    <mergeCell ref="C2:E2"/>
    <mergeCell ref="F2:H2"/>
    <mergeCell ref="I2:K2"/>
    <mergeCell ref="L2:N2"/>
    <mergeCell ref="O2:Q2"/>
    <mergeCell ref="A4:A5"/>
    <mergeCell ref="A10:A11"/>
    <mergeCell ref="A6:A7"/>
    <mergeCell ref="A8:A9"/>
    <mergeCell ref="A12:A13"/>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5"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40"/>
  <sheetViews>
    <sheetView showGridLines="0" zoomScale="70" zoomScaleNormal="70" workbookViewId="0">
      <pane xSplit="2" ySplit="2" topLeftCell="C3" activePane="bottomRight" state="frozen"/>
      <selection activeCell="F17" sqref="F17"/>
      <selection pane="topRight" activeCell="F17" sqref="F17"/>
      <selection pane="bottomLeft" activeCell="F17" sqref="F17"/>
      <selection pane="bottomRight" activeCell="V24" sqref="V24"/>
    </sheetView>
  </sheetViews>
  <sheetFormatPr defaultColWidth="8.875" defaultRowHeight="15.75"/>
  <cols>
    <col min="1" max="1" width="26.875" style="81" customWidth="1"/>
    <col min="2" max="2" width="6.375" style="81" customWidth="1"/>
    <col min="3" max="17" width="8.625" style="81" customWidth="1"/>
    <col min="18" max="256" width="9" style="81"/>
    <col min="257" max="257" width="22.375" style="81" customWidth="1"/>
    <col min="258" max="258" width="6.375" style="81" customWidth="1"/>
    <col min="259" max="270" width="6.625" style="81" customWidth="1"/>
    <col min="271" max="273" width="7.125" style="81" customWidth="1"/>
    <col min="274" max="512" width="9" style="81"/>
    <col min="513" max="513" width="22.375" style="81" customWidth="1"/>
    <col min="514" max="514" width="6.375" style="81" customWidth="1"/>
    <col min="515" max="526" width="6.625" style="81" customWidth="1"/>
    <col min="527" max="529" width="7.125" style="81" customWidth="1"/>
    <col min="530" max="768" width="9" style="81"/>
    <col min="769" max="769" width="22.375" style="81" customWidth="1"/>
    <col min="770" max="770" width="6.375" style="81" customWidth="1"/>
    <col min="771" max="782" width="6.625" style="81" customWidth="1"/>
    <col min="783" max="785" width="7.125" style="81" customWidth="1"/>
    <col min="786" max="1024" width="9" style="81"/>
    <col min="1025" max="1025" width="22.375" style="81" customWidth="1"/>
    <col min="1026" max="1026" width="6.375" style="81" customWidth="1"/>
    <col min="1027" max="1038" width="6.625" style="81" customWidth="1"/>
    <col min="1039" max="1041" width="7.125" style="81" customWidth="1"/>
    <col min="1042" max="1280" width="9" style="81"/>
    <col min="1281" max="1281" width="22.375" style="81" customWidth="1"/>
    <col min="1282" max="1282" width="6.375" style="81" customWidth="1"/>
    <col min="1283" max="1294" width="6.625" style="81" customWidth="1"/>
    <col min="1295" max="1297" width="7.125" style="81" customWidth="1"/>
    <col min="1298" max="1536" width="9" style="81"/>
    <col min="1537" max="1537" width="22.375" style="81" customWidth="1"/>
    <col min="1538" max="1538" width="6.375" style="81" customWidth="1"/>
    <col min="1539" max="1550" width="6.625" style="81" customWidth="1"/>
    <col min="1551" max="1553" width="7.125" style="81" customWidth="1"/>
    <col min="1554" max="1792" width="9" style="81"/>
    <col min="1793" max="1793" width="22.375" style="81" customWidth="1"/>
    <col min="1794" max="1794" width="6.375" style="81" customWidth="1"/>
    <col min="1795" max="1806" width="6.625" style="81" customWidth="1"/>
    <col min="1807" max="1809" width="7.125" style="81" customWidth="1"/>
    <col min="1810" max="2048" width="9" style="81"/>
    <col min="2049" max="2049" width="22.375" style="81" customWidth="1"/>
    <col min="2050" max="2050" width="6.375" style="81" customWidth="1"/>
    <col min="2051" max="2062" width="6.625" style="81" customWidth="1"/>
    <col min="2063" max="2065" width="7.125" style="81" customWidth="1"/>
    <col min="2066" max="2304" width="9" style="81"/>
    <col min="2305" max="2305" width="22.375" style="81" customWidth="1"/>
    <col min="2306" max="2306" width="6.375" style="81" customWidth="1"/>
    <col min="2307" max="2318" width="6.625" style="81" customWidth="1"/>
    <col min="2319" max="2321" width="7.125" style="81" customWidth="1"/>
    <col min="2322" max="2560" width="9" style="81"/>
    <col min="2561" max="2561" width="22.375" style="81" customWidth="1"/>
    <col min="2562" max="2562" width="6.375" style="81" customWidth="1"/>
    <col min="2563" max="2574" width="6.625" style="81" customWidth="1"/>
    <col min="2575" max="2577" width="7.125" style="81" customWidth="1"/>
    <col min="2578" max="2816" width="9" style="81"/>
    <col min="2817" max="2817" width="22.375" style="81" customWidth="1"/>
    <col min="2818" max="2818" width="6.375" style="81" customWidth="1"/>
    <col min="2819" max="2830" width="6.625" style="81" customWidth="1"/>
    <col min="2831" max="2833" width="7.125" style="81" customWidth="1"/>
    <col min="2834" max="3072" width="9" style="81"/>
    <col min="3073" max="3073" width="22.375" style="81" customWidth="1"/>
    <col min="3074" max="3074" width="6.375" style="81" customWidth="1"/>
    <col min="3075" max="3086" width="6.625" style="81" customWidth="1"/>
    <col min="3087" max="3089" width="7.125" style="81" customWidth="1"/>
    <col min="3090" max="3328" width="9" style="81"/>
    <col min="3329" max="3329" width="22.375" style="81" customWidth="1"/>
    <col min="3330" max="3330" width="6.375" style="81" customWidth="1"/>
    <col min="3331" max="3342" width="6.625" style="81" customWidth="1"/>
    <col min="3343" max="3345" width="7.125" style="81" customWidth="1"/>
    <col min="3346" max="3584" width="9" style="81"/>
    <col min="3585" max="3585" width="22.375" style="81" customWidth="1"/>
    <col min="3586" max="3586" width="6.375" style="81" customWidth="1"/>
    <col min="3587" max="3598" width="6.625" style="81" customWidth="1"/>
    <col min="3599" max="3601" width="7.125" style="81" customWidth="1"/>
    <col min="3602" max="3840" width="9" style="81"/>
    <col min="3841" max="3841" width="22.375" style="81" customWidth="1"/>
    <col min="3842" max="3842" width="6.375" style="81" customWidth="1"/>
    <col min="3843" max="3854" width="6.625" style="81" customWidth="1"/>
    <col min="3855" max="3857" width="7.125" style="81" customWidth="1"/>
    <col min="3858" max="4096" width="9" style="81"/>
    <col min="4097" max="4097" width="22.375" style="81" customWidth="1"/>
    <col min="4098" max="4098" width="6.375" style="81" customWidth="1"/>
    <col min="4099" max="4110" width="6.625" style="81" customWidth="1"/>
    <col min="4111" max="4113" width="7.125" style="81" customWidth="1"/>
    <col min="4114" max="4352" width="9" style="81"/>
    <col min="4353" max="4353" width="22.375" style="81" customWidth="1"/>
    <col min="4354" max="4354" width="6.375" style="81" customWidth="1"/>
    <col min="4355" max="4366" width="6.625" style="81" customWidth="1"/>
    <col min="4367" max="4369" width="7.125" style="81" customWidth="1"/>
    <col min="4370" max="4608" width="9" style="81"/>
    <col min="4609" max="4609" width="22.375" style="81" customWidth="1"/>
    <col min="4610" max="4610" width="6.375" style="81" customWidth="1"/>
    <col min="4611" max="4622" width="6.625" style="81" customWidth="1"/>
    <col min="4623" max="4625" width="7.125" style="81" customWidth="1"/>
    <col min="4626" max="4864" width="9" style="81"/>
    <col min="4865" max="4865" width="22.375" style="81" customWidth="1"/>
    <col min="4866" max="4866" width="6.375" style="81" customWidth="1"/>
    <col min="4867" max="4878" width="6.625" style="81" customWidth="1"/>
    <col min="4879" max="4881" width="7.125" style="81" customWidth="1"/>
    <col min="4882" max="5120" width="9" style="81"/>
    <col min="5121" max="5121" width="22.375" style="81" customWidth="1"/>
    <col min="5122" max="5122" width="6.375" style="81" customWidth="1"/>
    <col min="5123" max="5134" width="6.625" style="81" customWidth="1"/>
    <col min="5135" max="5137" width="7.125" style="81" customWidth="1"/>
    <col min="5138" max="5376" width="9" style="81"/>
    <col min="5377" max="5377" width="22.375" style="81" customWidth="1"/>
    <col min="5378" max="5378" width="6.375" style="81" customWidth="1"/>
    <col min="5379" max="5390" width="6.625" style="81" customWidth="1"/>
    <col min="5391" max="5393" width="7.125" style="81" customWidth="1"/>
    <col min="5394" max="5632" width="9" style="81"/>
    <col min="5633" max="5633" width="22.375" style="81" customWidth="1"/>
    <col min="5634" max="5634" width="6.375" style="81" customWidth="1"/>
    <col min="5635" max="5646" width="6.625" style="81" customWidth="1"/>
    <col min="5647" max="5649" width="7.125" style="81" customWidth="1"/>
    <col min="5650" max="5888" width="9" style="81"/>
    <col min="5889" max="5889" width="22.375" style="81" customWidth="1"/>
    <col min="5890" max="5890" width="6.375" style="81" customWidth="1"/>
    <col min="5891" max="5902" width="6.625" style="81" customWidth="1"/>
    <col min="5903" max="5905" width="7.125" style="81" customWidth="1"/>
    <col min="5906" max="6144" width="9" style="81"/>
    <col min="6145" max="6145" width="22.375" style="81" customWidth="1"/>
    <col min="6146" max="6146" width="6.375" style="81" customWidth="1"/>
    <col min="6147" max="6158" width="6.625" style="81" customWidth="1"/>
    <col min="6159" max="6161" width="7.125" style="81" customWidth="1"/>
    <col min="6162" max="6400" width="9" style="81"/>
    <col min="6401" max="6401" width="22.375" style="81" customWidth="1"/>
    <col min="6402" max="6402" width="6.375" style="81" customWidth="1"/>
    <col min="6403" max="6414" width="6.625" style="81" customWidth="1"/>
    <col min="6415" max="6417" width="7.125" style="81" customWidth="1"/>
    <col min="6418" max="6656" width="9" style="81"/>
    <col min="6657" max="6657" width="22.375" style="81" customWidth="1"/>
    <col min="6658" max="6658" width="6.375" style="81" customWidth="1"/>
    <col min="6659" max="6670" width="6.625" style="81" customWidth="1"/>
    <col min="6671" max="6673" width="7.125" style="81" customWidth="1"/>
    <col min="6674" max="6912" width="9" style="81"/>
    <col min="6913" max="6913" width="22.375" style="81" customWidth="1"/>
    <col min="6914" max="6914" width="6.375" style="81" customWidth="1"/>
    <col min="6915" max="6926" width="6.625" style="81" customWidth="1"/>
    <col min="6927" max="6929" width="7.125" style="81" customWidth="1"/>
    <col min="6930" max="7168" width="9" style="81"/>
    <col min="7169" max="7169" width="22.375" style="81" customWidth="1"/>
    <col min="7170" max="7170" width="6.375" style="81" customWidth="1"/>
    <col min="7171" max="7182" width="6.625" style="81" customWidth="1"/>
    <col min="7183" max="7185" width="7.125" style="81" customWidth="1"/>
    <col min="7186" max="7424" width="9" style="81"/>
    <col min="7425" max="7425" width="22.375" style="81" customWidth="1"/>
    <col min="7426" max="7426" width="6.375" style="81" customWidth="1"/>
    <col min="7427" max="7438" width="6.625" style="81" customWidth="1"/>
    <col min="7439" max="7441" width="7.125" style="81" customWidth="1"/>
    <col min="7442" max="7680" width="9" style="81"/>
    <col min="7681" max="7681" width="22.375" style="81" customWidth="1"/>
    <col min="7682" max="7682" width="6.375" style="81" customWidth="1"/>
    <col min="7683" max="7694" width="6.625" style="81" customWidth="1"/>
    <col min="7695" max="7697" width="7.125" style="81" customWidth="1"/>
    <col min="7698" max="7936" width="9" style="81"/>
    <col min="7937" max="7937" width="22.375" style="81" customWidth="1"/>
    <col min="7938" max="7938" width="6.375" style="81" customWidth="1"/>
    <col min="7939" max="7950" width="6.625" style="81" customWidth="1"/>
    <col min="7951" max="7953" width="7.125" style="81" customWidth="1"/>
    <col min="7954" max="8192" width="9" style="81"/>
    <col min="8193" max="8193" width="22.375" style="81" customWidth="1"/>
    <col min="8194" max="8194" width="6.375" style="81" customWidth="1"/>
    <col min="8195" max="8206" width="6.625" style="81" customWidth="1"/>
    <col min="8207" max="8209" width="7.125" style="81" customWidth="1"/>
    <col min="8210" max="8448" width="9" style="81"/>
    <col min="8449" max="8449" width="22.375" style="81" customWidth="1"/>
    <col min="8450" max="8450" width="6.375" style="81" customWidth="1"/>
    <col min="8451" max="8462" width="6.625" style="81" customWidth="1"/>
    <col min="8463" max="8465" width="7.125" style="81" customWidth="1"/>
    <col min="8466" max="8704" width="9" style="81"/>
    <col min="8705" max="8705" width="22.375" style="81" customWidth="1"/>
    <col min="8706" max="8706" width="6.375" style="81" customWidth="1"/>
    <col min="8707" max="8718" width="6.625" style="81" customWidth="1"/>
    <col min="8719" max="8721" width="7.125" style="81" customWidth="1"/>
    <col min="8722" max="8960" width="9" style="81"/>
    <col min="8961" max="8961" width="22.375" style="81" customWidth="1"/>
    <col min="8962" max="8962" width="6.375" style="81" customWidth="1"/>
    <col min="8963" max="8974" width="6.625" style="81" customWidth="1"/>
    <col min="8975" max="8977" width="7.125" style="81" customWidth="1"/>
    <col min="8978" max="9216" width="9" style="81"/>
    <col min="9217" max="9217" width="22.375" style="81" customWidth="1"/>
    <col min="9218" max="9218" width="6.375" style="81" customWidth="1"/>
    <col min="9219" max="9230" width="6.625" style="81" customWidth="1"/>
    <col min="9231" max="9233" width="7.125" style="81" customWidth="1"/>
    <col min="9234" max="9472" width="9" style="81"/>
    <col min="9473" max="9473" width="22.375" style="81" customWidth="1"/>
    <col min="9474" max="9474" width="6.375" style="81" customWidth="1"/>
    <col min="9475" max="9486" width="6.625" style="81" customWidth="1"/>
    <col min="9487" max="9489" width="7.125" style="81" customWidth="1"/>
    <col min="9490" max="9728" width="9" style="81"/>
    <col min="9729" max="9729" width="22.375" style="81" customWidth="1"/>
    <col min="9730" max="9730" width="6.375" style="81" customWidth="1"/>
    <col min="9731" max="9742" width="6.625" style="81" customWidth="1"/>
    <col min="9743" max="9745" width="7.125" style="81" customWidth="1"/>
    <col min="9746" max="9984" width="9" style="81"/>
    <col min="9985" max="9985" width="22.375" style="81" customWidth="1"/>
    <col min="9986" max="9986" width="6.375" style="81" customWidth="1"/>
    <col min="9987" max="9998" width="6.625" style="81" customWidth="1"/>
    <col min="9999" max="10001" width="7.125" style="81" customWidth="1"/>
    <col min="10002" max="10240" width="9" style="81"/>
    <col min="10241" max="10241" width="22.375" style="81" customWidth="1"/>
    <col min="10242" max="10242" width="6.375" style="81" customWidth="1"/>
    <col min="10243" max="10254" width="6.625" style="81" customWidth="1"/>
    <col min="10255" max="10257" width="7.125" style="81" customWidth="1"/>
    <col min="10258" max="10496" width="9" style="81"/>
    <col min="10497" max="10497" width="22.375" style="81" customWidth="1"/>
    <col min="10498" max="10498" width="6.375" style="81" customWidth="1"/>
    <col min="10499" max="10510" width="6.625" style="81" customWidth="1"/>
    <col min="10511" max="10513" width="7.125" style="81" customWidth="1"/>
    <col min="10514" max="10752" width="9" style="81"/>
    <col min="10753" max="10753" width="22.375" style="81" customWidth="1"/>
    <col min="10754" max="10754" width="6.375" style="81" customWidth="1"/>
    <col min="10755" max="10766" width="6.625" style="81" customWidth="1"/>
    <col min="10767" max="10769" width="7.125" style="81" customWidth="1"/>
    <col min="10770" max="11008" width="9" style="81"/>
    <col min="11009" max="11009" width="22.375" style="81" customWidth="1"/>
    <col min="11010" max="11010" width="6.375" style="81" customWidth="1"/>
    <col min="11011" max="11022" width="6.625" style="81" customWidth="1"/>
    <col min="11023" max="11025" width="7.125" style="81" customWidth="1"/>
    <col min="11026" max="11264" width="9" style="81"/>
    <col min="11265" max="11265" width="22.375" style="81" customWidth="1"/>
    <col min="11266" max="11266" width="6.375" style="81" customWidth="1"/>
    <col min="11267" max="11278" width="6.625" style="81" customWidth="1"/>
    <col min="11279" max="11281" width="7.125" style="81" customWidth="1"/>
    <col min="11282" max="11520" width="9" style="81"/>
    <col min="11521" max="11521" width="22.375" style="81" customWidth="1"/>
    <col min="11522" max="11522" width="6.375" style="81" customWidth="1"/>
    <col min="11523" max="11534" width="6.625" style="81" customWidth="1"/>
    <col min="11535" max="11537" width="7.125" style="81" customWidth="1"/>
    <col min="11538" max="11776" width="9" style="81"/>
    <col min="11777" max="11777" width="22.375" style="81" customWidth="1"/>
    <col min="11778" max="11778" width="6.375" style="81" customWidth="1"/>
    <col min="11779" max="11790" width="6.625" style="81" customWidth="1"/>
    <col min="11791" max="11793" width="7.125" style="81" customWidth="1"/>
    <col min="11794" max="12032" width="9" style="81"/>
    <col min="12033" max="12033" width="22.375" style="81" customWidth="1"/>
    <col min="12034" max="12034" width="6.375" style="81" customWidth="1"/>
    <col min="12035" max="12046" width="6.625" style="81" customWidth="1"/>
    <col min="12047" max="12049" width="7.125" style="81" customWidth="1"/>
    <col min="12050" max="12288" width="9" style="81"/>
    <col min="12289" max="12289" width="22.375" style="81" customWidth="1"/>
    <col min="12290" max="12290" width="6.375" style="81" customWidth="1"/>
    <col min="12291" max="12302" width="6.625" style="81" customWidth="1"/>
    <col min="12303" max="12305" width="7.125" style="81" customWidth="1"/>
    <col min="12306" max="12544" width="9" style="81"/>
    <col min="12545" max="12545" width="22.375" style="81" customWidth="1"/>
    <col min="12546" max="12546" width="6.375" style="81" customWidth="1"/>
    <col min="12547" max="12558" width="6.625" style="81" customWidth="1"/>
    <col min="12559" max="12561" width="7.125" style="81" customWidth="1"/>
    <col min="12562" max="12800" width="9" style="81"/>
    <col min="12801" max="12801" width="22.375" style="81" customWidth="1"/>
    <col min="12802" max="12802" width="6.375" style="81" customWidth="1"/>
    <col min="12803" max="12814" width="6.625" style="81" customWidth="1"/>
    <col min="12815" max="12817" width="7.125" style="81" customWidth="1"/>
    <col min="12818" max="13056" width="9" style="81"/>
    <col min="13057" max="13057" width="22.375" style="81" customWidth="1"/>
    <col min="13058" max="13058" width="6.375" style="81" customWidth="1"/>
    <col min="13059" max="13070" width="6.625" style="81" customWidth="1"/>
    <col min="13071" max="13073" width="7.125" style="81" customWidth="1"/>
    <col min="13074" max="13312" width="9" style="81"/>
    <col min="13313" max="13313" width="22.375" style="81" customWidth="1"/>
    <col min="13314" max="13314" width="6.375" style="81" customWidth="1"/>
    <col min="13315" max="13326" width="6.625" style="81" customWidth="1"/>
    <col min="13327" max="13329" width="7.125" style="81" customWidth="1"/>
    <col min="13330" max="13568" width="9" style="81"/>
    <col min="13569" max="13569" width="22.375" style="81" customWidth="1"/>
    <col min="13570" max="13570" width="6.375" style="81" customWidth="1"/>
    <col min="13571" max="13582" width="6.625" style="81" customWidth="1"/>
    <col min="13583" max="13585" width="7.125" style="81" customWidth="1"/>
    <col min="13586" max="13824" width="9" style="81"/>
    <col min="13825" max="13825" width="22.375" style="81" customWidth="1"/>
    <col min="13826" max="13826" width="6.375" style="81" customWidth="1"/>
    <col min="13827" max="13838" width="6.625" style="81" customWidth="1"/>
    <col min="13839" max="13841" width="7.125" style="81" customWidth="1"/>
    <col min="13842" max="14080" width="9" style="81"/>
    <col min="14081" max="14081" width="22.375" style="81" customWidth="1"/>
    <col min="14082" max="14082" width="6.375" style="81" customWidth="1"/>
    <col min="14083" max="14094" width="6.625" style="81" customWidth="1"/>
    <col min="14095" max="14097" width="7.125" style="81" customWidth="1"/>
    <col min="14098" max="14336" width="9" style="81"/>
    <col min="14337" max="14337" width="22.375" style="81" customWidth="1"/>
    <col min="14338" max="14338" width="6.375" style="81" customWidth="1"/>
    <col min="14339" max="14350" width="6.625" style="81" customWidth="1"/>
    <col min="14351" max="14353" width="7.125" style="81" customWidth="1"/>
    <col min="14354" max="14592" width="9" style="81"/>
    <col min="14593" max="14593" width="22.375" style="81" customWidth="1"/>
    <col min="14594" max="14594" width="6.375" style="81" customWidth="1"/>
    <col min="14595" max="14606" width="6.625" style="81" customWidth="1"/>
    <col min="14607" max="14609" width="7.125" style="81" customWidth="1"/>
    <col min="14610" max="14848" width="9" style="81"/>
    <col min="14849" max="14849" width="22.375" style="81" customWidth="1"/>
    <col min="14850" max="14850" width="6.375" style="81" customWidth="1"/>
    <col min="14851" max="14862" width="6.625" style="81" customWidth="1"/>
    <col min="14863" max="14865" width="7.125" style="81" customWidth="1"/>
    <col min="14866" max="15104" width="9" style="81"/>
    <col min="15105" max="15105" width="22.375" style="81" customWidth="1"/>
    <col min="15106" max="15106" width="6.375" style="81" customWidth="1"/>
    <col min="15107" max="15118" width="6.625" style="81" customWidth="1"/>
    <col min="15119" max="15121" width="7.125" style="81" customWidth="1"/>
    <col min="15122" max="15360" width="9" style="81"/>
    <col min="15361" max="15361" width="22.375" style="81" customWidth="1"/>
    <col min="15362" max="15362" width="6.375" style="81" customWidth="1"/>
    <col min="15363" max="15374" width="6.625" style="81" customWidth="1"/>
    <col min="15375" max="15377" width="7.125" style="81" customWidth="1"/>
    <col min="15378" max="15616" width="9" style="81"/>
    <col min="15617" max="15617" width="22.375" style="81" customWidth="1"/>
    <col min="15618" max="15618" width="6.375" style="81" customWidth="1"/>
    <col min="15619" max="15630" width="6.625" style="81" customWidth="1"/>
    <col min="15631" max="15633" width="7.125" style="81" customWidth="1"/>
    <col min="15634" max="15872" width="9" style="81"/>
    <col min="15873" max="15873" width="22.375" style="81" customWidth="1"/>
    <col min="15874" max="15874" width="6.375" style="81" customWidth="1"/>
    <col min="15875" max="15886" width="6.625" style="81" customWidth="1"/>
    <col min="15887" max="15889" width="7.125" style="81" customWidth="1"/>
    <col min="15890" max="16128" width="9" style="81"/>
    <col min="16129" max="16129" width="22.375" style="81" customWidth="1"/>
    <col min="16130" max="16130" width="6.375" style="81" customWidth="1"/>
    <col min="16131" max="16142" width="6.625" style="81" customWidth="1"/>
    <col min="16143" max="16145" width="7.125" style="81" customWidth="1"/>
    <col min="16146" max="16384" width="9" style="81"/>
  </cols>
  <sheetData>
    <row r="1" spans="1:17" s="80" customFormat="1" ht="25.35" customHeight="1">
      <c r="A1" s="418" t="s">
        <v>555</v>
      </c>
      <c r="B1" s="418"/>
      <c r="C1" s="418"/>
      <c r="D1" s="418"/>
      <c r="E1" s="418"/>
      <c r="F1" s="418"/>
      <c r="G1" s="418"/>
      <c r="H1" s="418"/>
      <c r="I1" s="418"/>
      <c r="J1" s="418"/>
      <c r="K1" s="418"/>
      <c r="L1" s="418"/>
      <c r="M1" s="418"/>
      <c r="N1" s="418"/>
      <c r="O1" s="428"/>
      <c r="P1" s="428"/>
      <c r="Q1" s="428"/>
    </row>
    <row r="2" spans="1:17" ht="18" customHeight="1">
      <c r="A2" s="429"/>
      <c r="B2" s="429"/>
      <c r="C2" s="431" t="s">
        <v>771</v>
      </c>
      <c r="D2" s="431"/>
      <c r="E2" s="431"/>
      <c r="F2" s="431" t="s">
        <v>35</v>
      </c>
      <c r="G2" s="431"/>
      <c r="H2" s="431"/>
      <c r="I2" s="431" t="s">
        <v>36</v>
      </c>
      <c r="J2" s="431"/>
      <c r="K2" s="431"/>
      <c r="L2" s="431" t="s">
        <v>37</v>
      </c>
      <c r="M2" s="431"/>
      <c r="N2" s="431"/>
      <c r="O2" s="431" t="s">
        <v>567</v>
      </c>
      <c r="P2" s="431"/>
      <c r="Q2" s="431"/>
    </row>
    <row r="3" spans="1:17" ht="18" customHeight="1">
      <c r="A3" s="430"/>
      <c r="B3" s="430"/>
      <c r="C3" s="280" t="s">
        <v>886</v>
      </c>
      <c r="D3" s="281" t="s">
        <v>669</v>
      </c>
      <c r="E3" s="281" t="s">
        <v>668</v>
      </c>
      <c r="F3" s="280" t="s">
        <v>667</v>
      </c>
      <c r="G3" s="281" t="s">
        <v>669</v>
      </c>
      <c r="H3" s="281" t="s">
        <v>668</v>
      </c>
      <c r="I3" s="280" t="s">
        <v>886</v>
      </c>
      <c r="J3" s="281" t="s">
        <v>669</v>
      </c>
      <c r="K3" s="281" t="s">
        <v>668</v>
      </c>
      <c r="L3" s="280" t="s">
        <v>667</v>
      </c>
      <c r="M3" s="281" t="s">
        <v>669</v>
      </c>
      <c r="N3" s="281" t="s">
        <v>887</v>
      </c>
      <c r="O3" s="280" t="s">
        <v>667</v>
      </c>
      <c r="P3" s="281" t="s">
        <v>669</v>
      </c>
      <c r="Q3" s="281" t="s">
        <v>668</v>
      </c>
    </row>
    <row r="4" spans="1:17" s="89" customFormat="1" ht="16.5" customHeight="1">
      <c r="A4" s="432" t="s">
        <v>888</v>
      </c>
      <c r="B4" s="282" t="s">
        <v>889</v>
      </c>
      <c r="C4" s="283">
        <f t="shared" ref="C4:Q4" si="0">SUM(C16,C14,C18,C12,C20,C8,C24,C28,C6,C22,C30,C26,C10,C32,C34)</f>
        <v>3079</v>
      </c>
      <c r="D4" s="283">
        <f t="shared" si="0"/>
        <v>2705</v>
      </c>
      <c r="E4" s="283">
        <f t="shared" si="0"/>
        <v>374</v>
      </c>
      <c r="F4" s="283">
        <f t="shared" si="0"/>
        <v>2565</v>
      </c>
      <c r="G4" s="283">
        <f t="shared" si="0"/>
        <v>2263</v>
      </c>
      <c r="H4" s="283">
        <f t="shared" si="0"/>
        <v>302</v>
      </c>
      <c r="I4" s="283">
        <f t="shared" si="0"/>
        <v>2502</v>
      </c>
      <c r="J4" s="283">
        <f t="shared" si="0"/>
        <v>2236</v>
      </c>
      <c r="K4" s="283">
        <f t="shared" si="0"/>
        <v>266</v>
      </c>
      <c r="L4" s="283">
        <f t="shared" si="0"/>
        <v>2749</v>
      </c>
      <c r="M4" s="283">
        <f t="shared" si="0"/>
        <v>2496</v>
      </c>
      <c r="N4" s="284">
        <f t="shared" si="0"/>
        <v>253</v>
      </c>
      <c r="O4" s="284">
        <f t="shared" si="0"/>
        <v>2177</v>
      </c>
      <c r="P4" s="284">
        <f t="shared" si="0"/>
        <v>1965</v>
      </c>
      <c r="Q4" s="284">
        <f t="shared" si="0"/>
        <v>212</v>
      </c>
    </row>
    <row r="5" spans="1:17" s="90" customFormat="1" ht="16.5" customHeight="1">
      <c r="A5" s="432"/>
      <c r="B5" s="285" t="s">
        <v>351</v>
      </c>
      <c r="C5" s="286">
        <f>SUM(C7,C9,C11,C13,C15,C17,C19,C21,C23,C25,C27,C29,C31,C33,C35)</f>
        <v>99.999999999999986</v>
      </c>
      <c r="D5" s="286">
        <f t="shared" ref="D5:Q5" si="1">SUM(D7,D9,D11,D13,D15,D17,D19,D21,D23,D25,D27,D29,D31,D33,D35)</f>
        <v>99.999999999999986</v>
      </c>
      <c r="E5" s="286">
        <f t="shared" si="1"/>
        <v>100</v>
      </c>
      <c r="F5" s="286">
        <f t="shared" si="1"/>
        <v>100.00000000000001</v>
      </c>
      <c r="G5" s="286">
        <f t="shared" si="1"/>
        <v>100.00000000000001</v>
      </c>
      <c r="H5" s="286">
        <f t="shared" si="1"/>
        <v>100</v>
      </c>
      <c r="I5" s="286">
        <f t="shared" si="1"/>
        <v>100.00000000000001</v>
      </c>
      <c r="J5" s="286">
        <f t="shared" si="1"/>
        <v>100</v>
      </c>
      <c r="K5" s="286">
        <f t="shared" si="1"/>
        <v>100</v>
      </c>
      <c r="L5" s="286">
        <f t="shared" si="1"/>
        <v>100</v>
      </c>
      <c r="M5" s="286">
        <f t="shared" si="1"/>
        <v>100</v>
      </c>
      <c r="N5" s="286">
        <f t="shared" si="1"/>
        <v>99.999999999999986</v>
      </c>
      <c r="O5" s="286">
        <f t="shared" si="1"/>
        <v>100</v>
      </c>
      <c r="P5" s="286">
        <f t="shared" si="1"/>
        <v>100.00000000000001</v>
      </c>
      <c r="Q5" s="286">
        <f t="shared" si="1"/>
        <v>100</v>
      </c>
    </row>
    <row r="6" spans="1:17" s="89" customFormat="1" ht="16.5" customHeight="1">
      <c r="A6" s="433" t="s">
        <v>587</v>
      </c>
      <c r="B6" s="282" t="s">
        <v>672</v>
      </c>
      <c r="C6" s="283">
        <v>520</v>
      </c>
      <c r="D6" s="283">
        <v>493</v>
      </c>
      <c r="E6" s="283">
        <v>27</v>
      </c>
      <c r="F6" s="283">
        <v>510</v>
      </c>
      <c r="G6" s="283">
        <v>469</v>
      </c>
      <c r="H6" s="283">
        <v>41</v>
      </c>
      <c r="I6" s="283">
        <v>508</v>
      </c>
      <c r="J6" s="283">
        <v>464</v>
      </c>
      <c r="K6" s="283">
        <v>44</v>
      </c>
      <c r="L6" s="283">
        <v>544</v>
      </c>
      <c r="M6" s="283">
        <v>514</v>
      </c>
      <c r="N6" s="283">
        <v>30</v>
      </c>
      <c r="O6" s="283">
        <v>419</v>
      </c>
      <c r="P6" s="283">
        <v>389</v>
      </c>
      <c r="Q6" s="283">
        <v>30</v>
      </c>
    </row>
    <row r="7" spans="1:17" s="90" customFormat="1" ht="16.5" customHeight="1">
      <c r="A7" s="433"/>
      <c r="B7" s="285" t="s">
        <v>351</v>
      </c>
      <c r="C7" s="286">
        <f>IFERROR(C6/C$4*100,"-")</f>
        <v>16.888600194868463</v>
      </c>
      <c r="D7" s="286">
        <f t="shared" ref="D7:Q7" si="2">IFERROR(D6/D$4*100,"-")</f>
        <v>18.225508317929759</v>
      </c>
      <c r="E7" s="286">
        <f t="shared" si="2"/>
        <v>7.2192513368983953</v>
      </c>
      <c r="F7" s="286">
        <f t="shared" si="2"/>
        <v>19.883040935672515</v>
      </c>
      <c r="G7" s="286">
        <f t="shared" si="2"/>
        <v>20.72470172337605</v>
      </c>
      <c r="H7" s="286">
        <f t="shared" si="2"/>
        <v>13.576158940397351</v>
      </c>
      <c r="I7" s="286">
        <f t="shared" si="2"/>
        <v>20.303756994404477</v>
      </c>
      <c r="J7" s="286">
        <f t="shared" si="2"/>
        <v>20.751341681574239</v>
      </c>
      <c r="K7" s="286">
        <f t="shared" si="2"/>
        <v>16.541353383458645</v>
      </c>
      <c r="L7" s="286">
        <f t="shared" si="2"/>
        <v>19.789014186977084</v>
      </c>
      <c r="M7" s="286">
        <f t="shared" si="2"/>
        <v>20.592948717948715</v>
      </c>
      <c r="N7" s="286">
        <f t="shared" si="2"/>
        <v>11.857707509881422</v>
      </c>
      <c r="O7" s="286">
        <f t="shared" si="2"/>
        <v>19.246669728984841</v>
      </c>
      <c r="P7" s="286">
        <f t="shared" si="2"/>
        <v>19.796437659033078</v>
      </c>
      <c r="Q7" s="286">
        <f t="shared" si="2"/>
        <v>14.150943396226415</v>
      </c>
    </row>
    <row r="8" spans="1:17" s="89" customFormat="1" ht="16.5" customHeight="1">
      <c r="A8" s="433" t="s">
        <v>452</v>
      </c>
      <c r="B8" s="282" t="s">
        <v>890</v>
      </c>
      <c r="C8" s="283">
        <v>624</v>
      </c>
      <c r="D8" s="283">
        <v>503</v>
      </c>
      <c r="E8" s="283">
        <v>121</v>
      </c>
      <c r="F8" s="283">
        <v>437</v>
      </c>
      <c r="G8" s="283">
        <v>350</v>
      </c>
      <c r="H8" s="283">
        <v>87</v>
      </c>
      <c r="I8" s="283">
        <v>369</v>
      </c>
      <c r="J8" s="283">
        <v>299</v>
      </c>
      <c r="K8" s="283">
        <v>70</v>
      </c>
      <c r="L8" s="283">
        <v>430</v>
      </c>
      <c r="M8" s="283">
        <v>384</v>
      </c>
      <c r="N8" s="283">
        <v>46</v>
      </c>
      <c r="O8" s="283">
        <v>346</v>
      </c>
      <c r="P8" s="283">
        <v>303</v>
      </c>
      <c r="Q8" s="283">
        <v>43</v>
      </c>
    </row>
    <row r="9" spans="1:17" s="90" customFormat="1" ht="16.5" customHeight="1">
      <c r="A9" s="433"/>
      <c r="B9" s="285" t="s">
        <v>351</v>
      </c>
      <c r="C9" s="286">
        <f>IFERROR(C8/C$4*100,"-")</f>
        <v>20.266320233842155</v>
      </c>
      <c r="D9" s="286">
        <f t="shared" ref="D9:Q9" si="3">IFERROR(D8/D$4*100,"-")</f>
        <v>18.595194085027728</v>
      </c>
      <c r="E9" s="286">
        <f t="shared" si="3"/>
        <v>32.352941176470587</v>
      </c>
      <c r="F9" s="286">
        <f t="shared" si="3"/>
        <v>17.037037037037038</v>
      </c>
      <c r="G9" s="286">
        <f t="shared" si="3"/>
        <v>15.466195315952275</v>
      </c>
      <c r="H9" s="286">
        <f t="shared" si="3"/>
        <v>28.807947019867548</v>
      </c>
      <c r="I9" s="286">
        <f t="shared" si="3"/>
        <v>14.748201438848922</v>
      </c>
      <c r="J9" s="286">
        <f t="shared" si="3"/>
        <v>13.372093023255813</v>
      </c>
      <c r="K9" s="286">
        <f t="shared" si="3"/>
        <v>26.315789473684209</v>
      </c>
      <c r="L9" s="286">
        <f t="shared" si="3"/>
        <v>15.642051655147327</v>
      </c>
      <c r="M9" s="286">
        <f t="shared" si="3"/>
        <v>15.384615384615385</v>
      </c>
      <c r="N9" s="286">
        <f t="shared" si="3"/>
        <v>18.181818181818183</v>
      </c>
      <c r="O9" s="286">
        <f t="shared" si="3"/>
        <v>15.893431327514929</v>
      </c>
      <c r="P9" s="286">
        <f t="shared" si="3"/>
        <v>15.419847328244273</v>
      </c>
      <c r="Q9" s="286">
        <f t="shared" si="3"/>
        <v>20.283018867924529</v>
      </c>
    </row>
    <row r="10" spans="1:17" s="89" customFormat="1" ht="16.5" customHeight="1">
      <c r="A10" s="433" t="s">
        <v>586</v>
      </c>
      <c r="B10" s="282" t="s">
        <v>672</v>
      </c>
      <c r="C10" s="283">
        <v>301</v>
      </c>
      <c r="D10" s="283">
        <v>279</v>
      </c>
      <c r="E10" s="283">
        <v>22</v>
      </c>
      <c r="F10" s="283">
        <v>278</v>
      </c>
      <c r="G10" s="283">
        <v>263</v>
      </c>
      <c r="H10" s="283">
        <v>15</v>
      </c>
      <c r="I10" s="283">
        <v>358</v>
      </c>
      <c r="J10" s="283">
        <v>330</v>
      </c>
      <c r="K10" s="283">
        <v>28</v>
      </c>
      <c r="L10" s="283">
        <v>382</v>
      </c>
      <c r="M10" s="283">
        <v>338</v>
      </c>
      <c r="N10" s="283">
        <v>44</v>
      </c>
      <c r="O10" s="283">
        <v>312</v>
      </c>
      <c r="P10" s="283">
        <v>269</v>
      </c>
      <c r="Q10" s="283">
        <v>43</v>
      </c>
    </row>
    <row r="11" spans="1:17" s="90" customFormat="1" ht="16.5" customHeight="1">
      <c r="A11" s="433"/>
      <c r="B11" s="285" t="s">
        <v>351</v>
      </c>
      <c r="C11" s="286">
        <f>IFERROR(C10/C$4*100,"-")</f>
        <v>9.7759012666450147</v>
      </c>
      <c r="D11" s="286">
        <f t="shared" ref="D11:Q11" si="4">IFERROR(D10/D$4*100,"-")</f>
        <v>10.314232902033272</v>
      </c>
      <c r="E11" s="286">
        <f t="shared" si="4"/>
        <v>5.8823529411764701</v>
      </c>
      <c r="F11" s="286">
        <f t="shared" si="4"/>
        <v>10.838206627680313</v>
      </c>
      <c r="G11" s="286">
        <f t="shared" si="4"/>
        <v>11.621741051701282</v>
      </c>
      <c r="H11" s="286">
        <f t="shared" si="4"/>
        <v>4.9668874172185431</v>
      </c>
      <c r="I11" s="286">
        <f t="shared" si="4"/>
        <v>14.308553157474021</v>
      </c>
      <c r="J11" s="286">
        <f t="shared" si="4"/>
        <v>14.75849731663685</v>
      </c>
      <c r="K11" s="286">
        <f t="shared" si="4"/>
        <v>10.526315789473683</v>
      </c>
      <c r="L11" s="286">
        <f t="shared" si="4"/>
        <v>13.895962168061113</v>
      </c>
      <c r="M11" s="286">
        <f t="shared" si="4"/>
        <v>13.541666666666666</v>
      </c>
      <c r="N11" s="286">
        <f t="shared" si="4"/>
        <v>17.391304347826086</v>
      </c>
      <c r="O11" s="286">
        <f t="shared" si="4"/>
        <v>14.331649058337161</v>
      </c>
      <c r="P11" s="286">
        <f t="shared" si="4"/>
        <v>13.689567430025445</v>
      </c>
      <c r="Q11" s="286">
        <f t="shared" si="4"/>
        <v>20.283018867924529</v>
      </c>
    </row>
    <row r="12" spans="1:17" s="89" customFormat="1" ht="16.5" customHeight="1">
      <c r="A12" s="433" t="s">
        <v>588</v>
      </c>
      <c r="B12" s="282" t="s">
        <v>672</v>
      </c>
      <c r="C12" s="283">
        <v>500</v>
      </c>
      <c r="D12" s="283">
        <v>441</v>
      </c>
      <c r="E12" s="283">
        <v>59</v>
      </c>
      <c r="F12" s="283">
        <v>415</v>
      </c>
      <c r="G12" s="283">
        <v>363</v>
      </c>
      <c r="H12" s="283">
        <v>52</v>
      </c>
      <c r="I12" s="283">
        <v>451</v>
      </c>
      <c r="J12" s="283">
        <v>393</v>
      </c>
      <c r="K12" s="283">
        <v>58</v>
      </c>
      <c r="L12" s="283">
        <v>406</v>
      </c>
      <c r="M12" s="283">
        <v>364</v>
      </c>
      <c r="N12" s="283">
        <v>42</v>
      </c>
      <c r="O12" s="283">
        <v>248</v>
      </c>
      <c r="P12" s="283">
        <v>214</v>
      </c>
      <c r="Q12" s="283">
        <v>34</v>
      </c>
    </row>
    <row r="13" spans="1:17" s="90" customFormat="1" ht="16.5" customHeight="1">
      <c r="A13" s="433"/>
      <c r="B13" s="285" t="s">
        <v>351</v>
      </c>
      <c r="C13" s="286">
        <f>IFERROR(C12/C$4*100,"-")</f>
        <v>16.239038648911986</v>
      </c>
      <c r="D13" s="286">
        <f t="shared" ref="D13:Q13" si="5">IFERROR(D12/D$4*100,"-")</f>
        <v>16.303142329020332</v>
      </c>
      <c r="E13" s="286">
        <f t="shared" si="5"/>
        <v>15.775401069518717</v>
      </c>
      <c r="F13" s="286">
        <f t="shared" si="5"/>
        <v>16.179337231968809</v>
      </c>
      <c r="G13" s="286">
        <f t="shared" si="5"/>
        <v>16.040653999116216</v>
      </c>
      <c r="H13" s="286">
        <f t="shared" si="5"/>
        <v>17.218543046357617</v>
      </c>
      <c r="I13" s="286">
        <f t="shared" si="5"/>
        <v>18.025579536370902</v>
      </c>
      <c r="J13" s="286">
        <f t="shared" si="5"/>
        <v>17.576028622540253</v>
      </c>
      <c r="K13" s="286">
        <f t="shared" si="5"/>
        <v>21.804511278195488</v>
      </c>
      <c r="L13" s="286">
        <f t="shared" si="5"/>
        <v>14.769006911604221</v>
      </c>
      <c r="M13" s="286">
        <f t="shared" si="5"/>
        <v>14.583333333333334</v>
      </c>
      <c r="N13" s="286">
        <f t="shared" si="5"/>
        <v>16.600790513833992</v>
      </c>
      <c r="O13" s="286">
        <f t="shared" si="5"/>
        <v>11.391823610473129</v>
      </c>
      <c r="P13" s="286">
        <f t="shared" si="5"/>
        <v>10.89058524173028</v>
      </c>
      <c r="Q13" s="286">
        <f t="shared" si="5"/>
        <v>16.037735849056602</v>
      </c>
    </row>
    <row r="14" spans="1:17" s="89" customFormat="1" ht="16.5" customHeight="1">
      <c r="A14" s="427" t="s">
        <v>891</v>
      </c>
      <c r="B14" s="282" t="s">
        <v>890</v>
      </c>
      <c r="C14" s="283">
        <v>165</v>
      </c>
      <c r="D14" s="283">
        <v>148</v>
      </c>
      <c r="E14" s="283">
        <v>17</v>
      </c>
      <c r="F14" s="283">
        <v>147</v>
      </c>
      <c r="G14" s="283">
        <v>124</v>
      </c>
      <c r="H14" s="283">
        <v>23</v>
      </c>
      <c r="I14" s="283">
        <v>131</v>
      </c>
      <c r="J14" s="283">
        <v>122</v>
      </c>
      <c r="K14" s="283">
        <v>9</v>
      </c>
      <c r="L14" s="283">
        <v>133</v>
      </c>
      <c r="M14" s="283">
        <v>124</v>
      </c>
      <c r="N14" s="283">
        <v>9</v>
      </c>
      <c r="O14" s="283">
        <v>103</v>
      </c>
      <c r="P14" s="283">
        <v>94</v>
      </c>
      <c r="Q14" s="283">
        <v>9</v>
      </c>
    </row>
    <row r="15" spans="1:17" s="90" customFormat="1" ht="16.5" customHeight="1">
      <c r="A15" s="427"/>
      <c r="B15" s="285" t="s">
        <v>351</v>
      </c>
      <c r="C15" s="286">
        <f>IFERROR(C14/C$4*100,"-")</f>
        <v>5.3588827541409545</v>
      </c>
      <c r="D15" s="286">
        <f t="shared" ref="D15:Q15" si="6">IFERROR(D14/D$4*100,"-")</f>
        <v>5.4713493530499075</v>
      </c>
      <c r="E15" s="286">
        <f t="shared" si="6"/>
        <v>4.5454545454545459</v>
      </c>
      <c r="F15" s="286">
        <f t="shared" si="6"/>
        <v>5.730994152046784</v>
      </c>
      <c r="G15" s="286">
        <f t="shared" si="6"/>
        <v>5.4794520547945202</v>
      </c>
      <c r="H15" s="286">
        <f t="shared" si="6"/>
        <v>7.6158940397350996</v>
      </c>
      <c r="I15" s="286">
        <f t="shared" si="6"/>
        <v>5.2358113509192643</v>
      </c>
      <c r="J15" s="286">
        <f t="shared" si="6"/>
        <v>5.4561717352415027</v>
      </c>
      <c r="K15" s="286">
        <f t="shared" si="6"/>
        <v>3.3834586466165413</v>
      </c>
      <c r="L15" s="286">
        <f t="shared" si="6"/>
        <v>4.838122953801383</v>
      </c>
      <c r="M15" s="286">
        <f t="shared" si="6"/>
        <v>4.9679487179487181</v>
      </c>
      <c r="N15" s="286">
        <f t="shared" si="6"/>
        <v>3.5573122529644272</v>
      </c>
      <c r="O15" s="286">
        <f t="shared" si="6"/>
        <v>4.7312815801561783</v>
      </c>
      <c r="P15" s="286">
        <f t="shared" si="6"/>
        <v>4.783715012722646</v>
      </c>
      <c r="Q15" s="286">
        <f t="shared" si="6"/>
        <v>4.2452830188679247</v>
      </c>
    </row>
    <row r="16" spans="1:17" s="89" customFormat="1" ht="16.5" customHeight="1">
      <c r="A16" s="436" t="s">
        <v>592</v>
      </c>
      <c r="B16" s="287" t="s">
        <v>672</v>
      </c>
      <c r="C16" s="288">
        <v>91</v>
      </c>
      <c r="D16" s="288">
        <v>84</v>
      </c>
      <c r="E16" s="288">
        <v>7</v>
      </c>
      <c r="F16" s="288">
        <v>106</v>
      </c>
      <c r="G16" s="288">
        <v>103</v>
      </c>
      <c r="H16" s="283">
        <v>3</v>
      </c>
      <c r="I16" s="283">
        <v>78</v>
      </c>
      <c r="J16" s="283">
        <v>75</v>
      </c>
      <c r="K16" s="283">
        <v>3</v>
      </c>
      <c r="L16" s="283">
        <v>104</v>
      </c>
      <c r="M16" s="283">
        <v>99</v>
      </c>
      <c r="N16" s="283">
        <v>5</v>
      </c>
      <c r="O16" s="283">
        <v>102</v>
      </c>
      <c r="P16" s="283">
        <v>101</v>
      </c>
      <c r="Q16" s="283">
        <v>1</v>
      </c>
    </row>
    <row r="17" spans="1:17" s="90" customFormat="1" ht="16.5" customHeight="1">
      <c r="A17" s="436"/>
      <c r="B17" s="285" t="s">
        <v>351</v>
      </c>
      <c r="C17" s="286">
        <f>IFERROR(C16/C$4*100,"-")</f>
        <v>2.9555050341019813</v>
      </c>
      <c r="D17" s="286">
        <f t="shared" ref="D17:Q17" si="7">IFERROR(D16/D$4*100,"-")</f>
        <v>3.1053604436229203</v>
      </c>
      <c r="E17" s="286">
        <f t="shared" si="7"/>
        <v>1.8716577540106951</v>
      </c>
      <c r="F17" s="286">
        <f t="shared" si="7"/>
        <v>4.132553606237817</v>
      </c>
      <c r="G17" s="286">
        <f t="shared" si="7"/>
        <v>4.5514803358373834</v>
      </c>
      <c r="H17" s="286">
        <f t="shared" si="7"/>
        <v>0.99337748344370869</v>
      </c>
      <c r="I17" s="286">
        <f t="shared" si="7"/>
        <v>3.1175059952038371</v>
      </c>
      <c r="J17" s="286">
        <f t="shared" si="7"/>
        <v>3.3542039355992843</v>
      </c>
      <c r="K17" s="286">
        <f t="shared" si="7"/>
        <v>1.1278195488721803</v>
      </c>
      <c r="L17" s="286">
        <f t="shared" si="7"/>
        <v>3.7831938886867951</v>
      </c>
      <c r="M17" s="286">
        <f t="shared" si="7"/>
        <v>3.9663461538461537</v>
      </c>
      <c r="N17" s="286">
        <f t="shared" si="7"/>
        <v>1.9762845849802373</v>
      </c>
      <c r="O17" s="286">
        <f t="shared" si="7"/>
        <v>4.6853468075333025</v>
      </c>
      <c r="P17" s="286">
        <f t="shared" si="7"/>
        <v>5.1399491094147587</v>
      </c>
      <c r="Q17" s="286">
        <f t="shared" si="7"/>
        <v>0.47169811320754718</v>
      </c>
    </row>
    <row r="18" spans="1:17" s="89" customFormat="1" ht="16.5" customHeight="1">
      <c r="A18" s="433" t="s">
        <v>589</v>
      </c>
      <c r="B18" s="282" t="s">
        <v>672</v>
      </c>
      <c r="C18" s="283">
        <v>136</v>
      </c>
      <c r="D18" s="283">
        <v>116</v>
      </c>
      <c r="E18" s="283">
        <v>20</v>
      </c>
      <c r="F18" s="283">
        <v>98</v>
      </c>
      <c r="G18" s="283">
        <v>87</v>
      </c>
      <c r="H18" s="283">
        <v>11</v>
      </c>
      <c r="I18" s="283">
        <v>106</v>
      </c>
      <c r="J18" s="283">
        <v>103</v>
      </c>
      <c r="K18" s="283">
        <v>3</v>
      </c>
      <c r="L18" s="283">
        <v>95</v>
      </c>
      <c r="M18" s="283">
        <v>84</v>
      </c>
      <c r="N18" s="283">
        <v>11</v>
      </c>
      <c r="O18" s="283">
        <v>83</v>
      </c>
      <c r="P18" s="283">
        <v>79</v>
      </c>
      <c r="Q18" s="283">
        <v>4</v>
      </c>
    </row>
    <row r="19" spans="1:17" s="90" customFormat="1" ht="16.5" customHeight="1">
      <c r="A19" s="433"/>
      <c r="B19" s="285" t="s">
        <v>351</v>
      </c>
      <c r="C19" s="286">
        <f>IFERROR(C18/C$4*100,"-")</f>
        <v>4.4170185125040593</v>
      </c>
      <c r="D19" s="286">
        <f t="shared" ref="D19:Q19" si="8">IFERROR(D18/D$4*100,"-")</f>
        <v>4.2883548983364141</v>
      </c>
      <c r="E19" s="286">
        <f t="shared" si="8"/>
        <v>5.3475935828877006</v>
      </c>
      <c r="F19" s="286">
        <f t="shared" si="8"/>
        <v>3.8206627680311889</v>
      </c>
      <c r="G19" s="286">
        <f t="shared" si="8"/>
        <v>3.8444542642509938</v>
      </c>
      <c r="H19" s="286">
        <f t="shared" si="8"/>
        <v>3.6423841059602649</v>
      </c>
      <c r="I19" s="286">
        <f t="shared" si="8"/>
        <v>4.2366107114308553</v>
      </c>
      <c r="J19" s="286">
        <f t="shared" si="8"/>
        <v>4.6064400715563512</v>
      </c>
      <c r="K19" s="286">
        <f t="shared" si="8"/>
        <v>1.1278195488721803</v>
      </c>
      <c r="L19" s="286">
        <f t="shared" si="8"/>
        <v>3.4558021098581304</v>
      </c>
      <c r="M19" s="286">
        <f t="shared" si="8"/>
        <v>3.3653846153846154</v>
      </c>
      <c r="N19" s="286">
        <f t="shared" si="8"/>
        <v>4.3478260869565215</v>
      </c>
      <c r="O19" s="286">
        <f t="shared" si="8"/>
        <v>3.8125861276986681</v>
      </c>
      <c r="P19" s="286">
        <f t="shared" si="8"/>
        <v>4.0203562340966918</v>
      </c>
      <c r="Q19" s="286">
        <f t="shared" si="8"/>
        <v>1.8867924528301887</v>
      </c>
    </row>
    <row r="20" spans="1:17" s="89" customFormat="1" ht="16.5" customHeight="1">
      <c r="A20" s="433" t="s">
        <v>590</v>
      </c>
      <c r="B20" s="282" t="s">
        <v>889</v>
      </c>
      <c r="C20" s="283">
        <v>67</v>
      </c>
      <c r="D20" s="283">
        <v>59</v>
      </c>
      <c r="E20" s="283">
        <v>8</v>
      </c>
      <c r="F20" s="283">
        <v>58</v>
      </c>
      <c r="G20" s="283">
        <v>51</v>
      </c>
      <c r="H20" s="283">
        <v>7</v>
      </c>
      <c r="I20" s="283">
        <v>76</v>
      </c>
      <c r="J20" s="283">
        <v>72</v>
      </c>
      <c r="K20" s="283">
        <v>4</v>
      </c>
      <c r="L20" s="283">
        <v>88</v>
      </c>
      <c r="M20" s="283">
        <v>82</v>
      </c>
      <c r="N20" s="283">
        <v>6</v>
      </c>
      <c r="O20" s="283">
        <v>70</v>
      </c>
      <c r="P20" s="283">
        <v>66</v>
      </c>
      <c r="Q20" s="283">
        <v>4</v>
      </c>
    </row>
    <row r="21" spans="1:17" s="90" customFormat="1" ht="16.5" customHeight="1">
      <c r="A21" s="433"/>
      <c r="B21" s="285" t="s">
        <v>351</v>
      </c>
      <c r="C21" s="286">
        <f>IFERROR(C20/C$4*100,"-")</f>
        <v>2.1760311789542057</v>
      </c>
      <c r="D21" s="286">
        <f t="shared" ref="D21:Q21" si="9">IFERROR(D20/D$4*100,"-")</f>
        <v>2.1811460258780038</v>
      </c>
      <c r="E21" s="286">
        <f t="shared" si="9"/>
        <v>2.1390374331550799</v>
      </c>
      <c r="F21" s="286">
        <f t="shared" si="9"/>
        <v>2.2612085769980506</v>
      </c>
      <c r="G21" s="286">
        <f t="shared" si="9"/>
        <v>2.2536456031816177</v>
      </c>
      <c r="H21" s="286">
        <f t="shared" si="9"/>
        <v>2.3178807947019866</v>
      </c>
      <c r="I21" s="286">
        <f t="shared" si="9"/>
        <v>3.0375699440447641</v>
      </c>
      <c r="J21" s="286">
        <f t="shared" si="9"/>
        <v>3.2200357781753133</v>
      </c>
      <c r="K21" s="286">
        <f t="shared" si="9"/>
        <v>1.5037593984962405</v>
      </c>
      <c r="L21" s="286">
        <f t="shared" si="9"/>
        <v>3.2011640596580579</v>
      </c>
      <c r="M21" s="286">
        <f t="shared" si="9"/>
        <v>3.2852564102564106</v>
      </c>
      <c r="N21" s="286">
        <f t="shared" si="9"/>
        <v>2.3715415019762842</v>
      </c>
      <c r="O21" s="286">
        <f t="shared" si="9"/>
        <v>3.215434083601286</v>
      </c>
      <c r="P21" s="286">
        <f t="shared" si="9"/>
        <v>3.3587786259541987</v>
      </c>
      <c r="Q21" s="286">
        <f t="shared" si="9"/>
        <v>1.8867924528301887</v>
      </c>
    </row>
    <row r="22" spans="1:17" s="89" customFormat="1" ht="16.5" customHeight="1">
      <c r="A22" s="433" t="s">
        <v>725</v>
      </c>
      <c r="B22" s="282" t="s">
        <v>672</v>
      </c>
      <c r="C22" s="283">
        <v>59</v>
      </c>
      <c r="D22" s="283">
        <v>54</v>
      </c>
      <c r="E22" s="283">
        <v>5</v>
      </c>
      <c r="F22" s="283">
        <v>56</v>
      </c>
      <c r="G22" s="283">
        <v>53</v>
      </c>
      <c r="H22" s="283">
        <v>3</v>
      </c>
      <c r="I22" s="283">
        <v>49</v>
      </c>
      <c r="J22" s="283">
        <v>45</v>
      </c>
      <c r="K22" s="283">
        <v>4</v>
      </c>
      <c r="L22" s="283">
        <v>33</v>
      </c>
      <c r="M22" s="283">
        <v>28</v>
      </c>
      <c r="N22" s="283">
        <v>5</v>
      </c>
      <c r="O22" s="283">
        <v>44</v>
      </c>
      <c r="P22" s="283">
        <v>39</v>
      </c>
      <c r="Q22" s="283">
        <v>5</v>
      </c>
    </row>
    <row r="23" spans="1:17" s="90" customFormat="1" ht="16.5" customHeight="1">
      <c r="A23" s="433"/>
      <c r="B23" s="285" t="s">
        <v>351</v>
      </c>
      <c r="C23" s="286">
        <f>IFERROR(C22/C$4*100,"-")</f>
        <v>1.9162065605716143</v>
      </c>
      <c r="D23" s="286">
        <f t="shared" ref="D23:Q23" si="10">IFERROR(D22/D$4*100,"-")</f>
        <v>1.9963031423290205</v>
      </c>
      <c r="E23" s="286">
        <f t="shared" si="10"/>
        <v>1.3368983957219251</v>
      </c>
      <c r="F23" s="286">
        <f t="shared" si="10"/>
        <v>2.1832358674463941</v>
      </c>
      <c r="G23" s="286">
        <f t="shared" si="10"/>
        <v>2.3420238621299161</v>
      </c>
      <c r="H23" s="286">
        <f t="shared" si="10"/>
        <v>0.99337748344370869</v>
      </c>
      <c r="I23" s="286">
        <f t="shared" si="10"/>
        <v>1.9584332533972821</v>
      </c>
      <c r="J23" s="286">
        <f t="shared" si="10"/>
        <v>2.0125223613595709</v>
      </c>
      <c r="K23" s="286">
        <f t="shared" si="10"/>
        <v>1.5037593984962405</v>
      </c>
      <c r="L23" s="286">
        <f t="shared" si="10"/>
        <v>1.2004365223717717</v>
      </c>
      <c r="M23" s="286">
        <f t="shared" si="10"/>
        <v>1.1217948717948718</v>
      </c>
      <c r="N23" s="286">
        <f t="shared" si="10"/>
        <v>1.9762845849802373</v>
      </c>
      <c r="O23" s="286">
        <f t="shared" si="10"/>
        <v>2.0211299954065227</v>
      </c>
      <c r="P23" s="286">
        <f t="shared" si="10"/>
        <v>1.9847328244274809</v>
      </c>
      <c r="Q23" s="286">
        <f t="shared" si="10"/>
        <v>2.358490566037736</v>
      </c>
    </row>
    <row r="24" spans="1:17" s="89" customFormat="1" ht="16.5" customHeight="1">
      <c r="A24" s="433" t="s">
        <v>726</v>
      </c>
      <c r="B24" s="282" t="s">
        <v>672</v>
      </c>
      <c r="C24" s="283">
        <v>31</v>
      </c>
      <c r="D24" s="283">
        <v>30</v>
      </c>
      <c r="E24" s="283">
        <v>1</v>
      </c>
      <c r="F24" s="283">
        <v>42</v>
      </c>
      <c r="G24" s="283">
        <v>37</v>
      </c>
      <c r="H24" s="283">
        <v>5</v>
      </c>
      <c r="I24" s="283">
        <v>42</v>
      </c>
      <c r="J24" s="283">
        <v>37</v>
      </c>
      <c r="K24" s="283">
        <v>5</v>
      </c>
      <c r="L24" s="283">
        <v>48</v>
      </c>
      <c r="M24" s="283">
        <v>45</v>
      </c>
      <c r="N24" s="283">
        <v>3</v>
      </c>
      <c r="O24" s="283">
        <v>23</v>
      </c>
      <c r="P24" s="283">
        <v>23</v>
      </c>
      <c r="Q24" s="283">
        <v>0</v>
      </c>
    </row>
    <row r="25" spans="1:17" s="90" customFormat="1" ht="16.5" customHeight="1">
      <c r="A25" s="433"/>
      <c r="B25" s="285" t="s">
        <v>351</v>
      </c>
      <c r="C25" s="286">
        <f>IFERROR(C24/C$4*100,"-")</f>
        <v>1.006820396232543</v>
      </c>
      <c r="D25" s="286">
        <f t="shared" ref="D25:Q25" si="11">IFERROR(D24/D$4*100,"-")</f>
        <v>1.1090573012939002</v>
      </c>
      <c r="E25" s="286">
        <f t="shared" si="11"/>
        <v>0.26737967914438499</v>
      </c>
      <c r="F25" s="286">
        <f t="shared" si="11"/>
        <v>1.6374269005847955</v>
      </c>
      <c r="G25" s="286">
        <f t="shared" si="11"/>
        <v>1.6349977905435262</v>
      </c>
      <c r="H25" s="286">
        <f t="shared" si="11"/>
        <v>1.6556291390728477</v>
      </c>
      <c r="I25" s="286">
        <f t="shared" si="11"/>
        <v>1.6786570743405276</v>
      </c>
      <c r="J25" s="286">
        <f t="shared" si="11"/>
        <v>1.6547406082289804</v>
      </c>
      <c r="K25" s="286">
        <f t="shared" si="11"/>
        <v>1.8796992481203008</v>
      </c>
      <c r="L25" s="286">
        <f t="shared" si="11"/>
        <v>1.7460894870862129</v>
      </c>
      <c r="M25" s="286">
        <f t="shared" si="11"/>
        <v>1.8028846153846152</v>
      </c>
      <c r="N25" s="286">
        <f t="shared" si="11"/>
        <v>1.1857707509881421</v>
      </c>
      <c r="O25" s="286">
        <f t="shared" si="11"/>
        <v>1.056499770326137</v>
      </c>
      <c r="P25" s="286">
        <f t="shared" si="11"/>
        <v>1.1704834605597965</v>
      </c>
      <c r="Q25" s="283">
        <f t="shared" si="11"/>
        <v>0</v>
      </c>
    </row>
    <row r="26" spans="1:17" s="89" customFormat="1" ht="16.5" customHeight="1">
      <c r="A26" s="433" t="s">
        <v>465</v>
      </c>
      <c r="B26" s="282" t="s">
        <v>890</v>
      </c>
      <c r="C26" s="283">
        <v>34</v>
      </c>
      <c r="D26" s="283">
        <v>34</v>
      </c>
      <c r="E26" s="283">
        <v>0</v>
      </c>
      <c r="F26" s="283">
        <v>16</v>
      </c>
      <c r="G26" s="283">
        <v>16</v>
      </c>
      <c r="H26" s="283">
        <v>0</v>
      </c>
      <c r="I26" s="283">
        <v>22</v>
      </c>
      <c r="J26" s="283">
        <v>20</v>
      </c>
      <c r="K26" s="283">
        <v>2</v>
      </c>
      <c r="L26" s="283">
        <v>34</v>
      </c>
      <c r="M26" s="283">
        <v>34</v>
      </c>
      <c r="N26" s="283">
        <v>0</v>
      </c>
      <c r="O26" s="283">
        <v>21</v>
      </c>
      <c r="P26" s="283">
        <v>20</v>
      </c>
      <c r="Q26" s="283">
        <v>1</v>
      </c>
    </row>
    <row r="27" spans="1:17" s="90" customFormat="1" ht="16.5" customHeight="1">
      <c r="A27" s="433"/>
      <c r="B27" s="285" t="s">
        <v>351</v>
      </c>
      <c r="C27" s="286">
        <f>IFERROR(C26/C$4*100,"-")</f>
        <v>1.1042546281260148</v>
      </c>
      <c r="D27" s="286">
        <f t="shared" ref="D27:Q27" si="12">IFERROR(D26/D$4*100,"-")</f>
        <v>1.2569316081330868</v>
      </c>
      <c r="E27" s="283">
        <f t="shared" si="12"/>
        <v>0</v>
      </c>
      <c r="F27" s="286">
        <f t="shared" si="12"/>
        <v>0.62378167641325533</v>
      </c>
      <c r="G27" s="286">
        <f t="shared" si="12"/>
        <v>0.70702607158638975</v>
      </c>
      <c r="H27" s="283">
        <f t="shared" si="12"/>
        <v>0</v>
      </c>
      <c r="I27" s="286">
        <f t="shared" si="12"/>
        <v>0.87929656274980017</v>
      </c>
      <c r="J27" s="286">
        <f t="shared" si="12"/>
        <v>0.89445438282647582</v>
      </c>
      <c r="K27" s="286">
        <f t="shared" si="12"/>
        <v>0.75187969924812026</v>
      </c>
      <c r="L27" s="286">
        <f t="shared" si="12"/>
        <v>1.2368133866860678</v>
      </c>
      <c r="M27" s="286">
        <f t="shared" si="12"/>
        <v>1.3621794871794872</v>
      </c>
      <c r="N27" s="283">
        <f t="shared" si="12"/>
        <v>0</v>
      </c>
      <c r="O27" s="286">
        <f t="shared" si="12"/>
        <v>0.96463022508038598</v>
      </c>
      <c r="P27" s="286">
        <f t="shared" si="12"/>
        <v>1.0178117048346056</v>
      </c>
      <c r="Q27" s="286">
        <f t="shared" si="12"/>
        <v>0.47169811320754718</v>
      </c>
    </row>
    <row r="28" spans="1:17" s="89" customFormat="1" ht="16.5" customHeight="1">
      <c r="A28" s="433" t="s">
        <v>727</v>
      </c>
      <c r="B28" s="282" t="s">
        <v>890</v>
      </c>
      <c r="C28" s="283">
        <v>12</v>
      </c>
      <c r="D28" s="283">
        <v>12</v>
      </c>
      <c r="E28" s="283">
        <v>0</v>
      </c>
      <c r="F28" s="283">
        <v>10</v>
      </c>
      <c r="G28" s="283">
        <v>10</v>
      </c>
      <c r="H28" s="283">
        <v>0</v>
      </c>
      <c r="I28" s="283">
        <v>15</v>
      </c>
      <c r="J28" s="283">
        <v>15</v>
      </c>
      <c r="K28" s="283">
        <v>0</v>
      </c>
      <c r="L28" s="283">
        <v>4</v>
      </c>
      <c r="M28" s="283">
        <v>3</v>
      </c>
      <c r="N28" s="283">
        <v>1</v>
      </c>
      <c r="O28" s="283">
        <v>6</v>
      </c>
      <c r="P28" s="283">
        <v>6</v>
      </c>
      <c r="Q28" s="283">
        <v>0</v>
      </c>
    </row>
    <row r="29" spans="1:17" s="90" customFormat="1" ht="16.5" customHeight="1">
      <c r="A29" s="433"/>
      <c r="B29" s="285" t="s">
        <v>351</v>
      </c>
      <c r="C29" s="286">
        <f>IFERROR(C28/C$4*100,"-")</f>
        <v>0.38973692757388761</v>
      </c>
      <c r="D29" s="286">
        <f t="shared" ref="D29:Q29" si="13">IFERROR(D28/D$4*100,"-")</f>
        <v>0.44362292051756003</v>
      </c>
      <c r="E29" s="283">
        <f t="shared" si="13"/>
        <v>0</v>
      </c>
      <c r="F29" s="286">
        <f t="shared" si="13"/>
        <v>0.38986354775828458</v>
      </c>
      <c r="G29" s="286">
        <f t="shared" si="13"/>
        <v>0.44189129474149363</v>
      </c>
      <c r="H29" s="283">
        <f t="shared" si="13"/>
        <v>0</v>
      </c>
      <c r="I29" s="286">
        <f t="shared" si="13"/>
        <v>0.59952038369304561</v>
      </c>
      <c r="J29" s="286">
        <f t="shared" si="13"/>
        <v>0.67084078711985684</v>
      </c>
      <c r="K29" s="283">
        <f t="shared" si="13"/>
        <v>0</v>
      </c>
      <c r="L29" s="286">
        <f t="shared" si="13"/>
        <v>0.14550745725718442</v>
      </c>
      <c r="M29" s="286">
        <f t="shared" si="13"/>
        <v>0.1201923076923077</v>
      </c>
      <c r="N29" s="286">
        <f t="shared" si="13"/>
        <v>0.39525691699604742</v>
      </c>
      <c r="O29" s="286">
        <f t="shared" si="13"/>
        <v>0.27560863573725308</v>
      </c>
      <c r="P29" s="286">
        <f t="shared" si="13"/>
        <v>0.30534351145038169</v>
      </c>
      <c r="Q29" s="283">
        <f t="shared" si="13"/>
        <v>0</v>
      </c>
    </row>
    <row r="30" spans="1:17" s="89" customFormat="1" ht="16.5" customHeight="1">
      <c r="A30" s="434" t="s">
        <v>892</v>
      </c>
      <c r="B30" s="282" t="s">
        <v>889</v>
      </c>
      <c r="C30" s="283">
        <v>2</v>
      </c>
      <c r="D30" s="283">
        <v>2</v>
      </c>
      <c r="E30" s="283">
        <v>0</v>
      </c>
      <c r="F30" s="283">
        <v>3</v>
      </c>
      <c r="G30" s="283">
        <v>3</v>
      </c>
      <c r="H30" s="283">
        <v>0</v>
      </c>
      <c r="I30" s="283">
        <v>1</v>
      </c>
      <c r="J30" s="283">
        <v>1</v>
      </c>
      <c r="K30" s="283">
        <v>0</v>
      </c>
      <c r="L30" s="283">
        <v>2</v>
      </c>
      <c r="M30" s="283">
        <v>1</v>
      </c>
      <c r="N30" s="283">
        <v>1</v>
      </c>
      <c r="O30" s="283">
        <v>0</v>
      </c>
      <c r="P30" s="283">
        <v>0</v>
      </c>
      <c r="Q30" s="283">
        <v>0</v>
      </c>
    </row>
    <row r="31" spans="1:17" s="90" customFormat="1" ht="16.5" customHeight="1">
      <c r="A31" s="434"/>
      <c r="B31" s="285" t="s">
        <v>351</v>
      </c>
      <c r="C31" s="286">
        <f>IFERROR(C30/C$4*100,"-")</f>
        <v>6.4956154595647936E-2</v>
      </c>
      <c r="D31" s="286">
        <f t="shared" ref="D31:Q31" si="14">IFERROR(D30/D$4*100,"-")</f>
        <v>7.3937153419593338E-2</v>
      </c>
      <c r="E31" s="283">
        <f t="shared" si="14"/>
        <v>0</v>
      </c>
      <c r="F31" s="286">
        <f t="shared" si="14"/>
        <v>0.11695906432748539</v>
      </c>
      <c r="G31" s="286">
        <f t="shared" si="14"/>
        <v>0.13256738842244808</v>
      </c>
      <c r="H31" s="283">
        <f t="shared" si="14"/>
        <v>0</v>
      </c>
      <c r="I31" s="286">
        <f t="shared" si="14"/>
        <v>3.9968025579536368E-2</v>
      </c>
      <c r="J31" s="286">
        <f t="shared" si="14"/>
        <v>4.4722719141323794E-2</v>
      </c>
      <c r="K31" s="283">
        <f t="shared" si="14"/>
        <v>0</v>
      </c>
      <c r="L31" s="286">
        <f t="shared" si="14"/>
        <v>7.275372862859221E-2</v>
      </c>
      <c r="M31" s="286">
        <f t="shared" si="14"/>
        <v>4.0064102564102561E-2</v>
      </c>
      <c r="N31" s="286">
        <f t="shared" si="14"/>
        <v>0.39525691699604742</v>
      </c>
      <c r="O31" s="283">
        <f t="shared" si="14"/>
        <v>0</v>
      </c>
      <c r="P31" s="283">
        <f t="shared" si="14"/>
        <v>0</v>
      </c>
      <c r="Q31" s="283">
        <f t="shared" si="14"/>
        <v>0</v>
      </c>
    </row>
    <row r="32" spans="1:17" s="89" customFormat="1" ht="16.5" customHeight="1">
      <c r="A32" s="432" t="s">
        <v>893</v>
      </c>
      <c r="B32" s="282" t="s">
        <v>672</v>
      </c>
      <c r="C32" s="283">
        <v>334</v>
      </c>
      <c r="D32" s="283">
        <v>290</v>
      </c>
      <c r="E32" s="283">
        <v>44</v>
      </c>
      <c r="F32" s="283">
        <v>294</v>
      </c>
      <c r="G32" s="283">
        <v>260</v>
      </c>
      <c r="H32" s="283">
        <v>34</v>
      </c>
      <c r="I32" s="283">
        <v>223</v>
      </c>
      <c r="J32" s="283">
        <v>202</v>
      </c>
      <c r="K32" s="283">
        <v>21</v>
      </c>
      <c r="L32" s="283">
        <v>346</v>
      </c>
      <c r="M32" s="283">
        <v>318</v>
      </c>
      <c r="N32" s="283">
        <v>28</v>
      </c>
      <c r="O32" s="283">
        <v>345</v>
      </c>
      <c r="P32" s="283">
        <v>318</v>
      </c>
      <c r="Q32" s="283">
        <v>27</v>
      </c>
    </row>
    <row r="33" spans="1:17" s="90" customFormat="1" ht="16.5" customHeight="1">
      <c r="A33" s="432"/>
      <c r="B33" s="285" t="s">
        <v>351</v>
      </c>
      <c r="C33" s="286">
        <f>IFERROR(C32/C$4*100,"-")</f>
        <v>10.847677817473206</v>
      </c>
      <c r="D33" s="286">
        <f t="shared" ref="D33:Q33" si="15">IFERROR(D32/D$4*100,"-")</f>
        <v>10.720887245841034</v>
      </c>
      <c r="E33" s="286">
        <f t="shared" si="15"/>
        <v>11.76470588235294</v>
      </c>
      <c r="F33" s="286">
        <f t="shared" si="15"/>
        <v>11.461988304093568</v>
      </c>
      <c r="G33" s="286">
        <f t="shared" si="15"/>
        <v>11.489173663278834</v>
      </c>
      <c r="H33" s="286">
        <f t="shared" si="15"/>
        <v>11.258278145695364</v>
      </c>
      <c r="I33" s="286">
        <f t="shared" si="15"/>
        <v>8.912869704236611</v>
      </c>
      <c r="J33" s="286">
        <f t="shared" si="15"/>
        <v>9.0339892665474064</v>
      </c>
      <c r="K33" s="286">
        <f t="shared" si="15"/>
        <v>7.8947368421052628</v>
      </c>
      <c r="L33" s="286">
        <f t="shared" si="15"/>
        <v>12.586395052746452</v>
      </c>
      <c r="M33" s="286">
        <f t="shared" si="15"/>
        <v>12.740384615384615</v>
      </c>
      <c r="N33" s="286">
        <f t="shared" si="15"/>
        <v>11.067193675889328</v>
      </c>
      <c r="O33" s="286">
        <f t="shared" si="15"/>
        <v>15.847496554892054</v>
      </c>
      <c r="P33" s="286">
        <f t="shared" si="15"/>
        <v>16.18320610687023</v>
      </c>
      <c r="Q33" s="286">
        <f t="shared" si="15"/>
        <v>12.735849056603774</v>
      </c>
    </row>
    <row r="34" spans="1:17" s="89" customFormat="1" ht="16.5" customHeight="1">
      <c r="A34" s="432" t="s">
        <v>894</v>
      </c>
      <c r="B34" s="282" t="s">
        <v>672</v>
      </c>
      <c r="C34" s="283">
        <v>203</v>
      </c>
      <c r="D34" s="283">
        <v>160</v>
      </c>
      <c r="E34" s="283">
        <v>43</v>
      </c>
      <c r="F34" s="283">
        <v>95</v>
      </c>
      <c r="G34" s="283">
        <v>74</v>
      </c>
      <c r="H34" s="283">
        <v>21</v>
      </c>
      <c r="I34" s="283">
        <v>73</v>
      </c>
      <c r="J34" s="283">
        <v>58</v>
      </c>
      <c r="K34" s="283">
        <v>15</v>
      </c>
      <c r="L34" s="283">
        <v>100</v>
      </c>
      <c r="M34" s="283">
        <v>78</v>
      </c>
      <c r="N34" s="283">
        <v>22</v>
      </c>
      <c r="O34" s="283">
        <v>55</v>
      </c>
      <c r="P34" s="283">
        <v>44</v>
      </c>
      <c r="Q34" s="283">
        <v>11</v>
      </c>
    </row>
    <row r="35" spans="1:17" s="90" customFormat="1" ht="16.5" customHeight="1">
      <c r="A35" s="435"/>
      <c r="B35" s="289" t="s">
        <v>351</v>
      </c>
      <c r="C35" s="290">
        <f>IFERROR(C34/C$4*100,"-")</f>
        <v>6.5930496914582655</v>
      </c>
      <c r="D35" s="290">
        <f t="shared" ref="D35:Q35" si="16">IFERROR(D34/D$4*100,"-")</f>
        <v>5.9149722735674679</v>
      </c>
      <c r="E35" s="290">
        <f t="shared" si="16"/>
        <v>11.497326203208557</v>
      </c>
      <c r="F35" s="290">
        <f t="shared" si="16"/>
        <v>3.7037037037037033</v>
      </c>
      <c r="G35" s="290">
        <f t="shared" si="16"/>
        <v>3.2699955810870525</v>
      </c>
      <c r="H35" s="290">
        <f t="shared" si="16"/>
        <v>6.9536423841059598</v>
      </c>
      <c r="I35" s="290">
        <f t="shared" si="16"/>
        <v>2.9176658673061553</v>
      </c>
      <c r="J35" s="290">
        <f t="shared" si="16"/>
        <v>2.5939177101967799</v>
      </c>
      <c r="K35" s="290">
        <f t="shared" si="16"/>
        <v>5.6390977443609023</v>
      </c>
      <c r="L35" s="290">
        <f t="shared" si="16"/>
        <v>3.6376864314296107</v>
      </c>
      <c r="M35" s="290">
        <f t="shared" si="16"/>
        <v>3.125</v>
      </c>
      <c r="N35" s="290">
        <f t="shared" si="16"/>
        <v>8.695652173913043</v>
      </c>
      <c r="O35" s="290">
        <f t="shared" si="16"/>
        <v>2.5264124942581532</v>
      </c>
      <c r="P35" s="290">
        <f t="shared" si="16"/>
        <v>2.2391857506361323</v>
      </c>
      <c r="Q35" s="290">
        <f t="shared" si="16"/>
        <v>5.1886792452830193</v>
      </c>
    </row>
    <row r="36" spans="1:17" s="82" customFormat="1" ht="14.1" customHeight="1">
      <c r="A36" s="132" t="s">
        <v>438</v>
      </c>
      <c r="C36" s="91"/>
      <c r="D36" s="91"/>
      <c r="E36" s="91"/>
      <c r="F36" s="91"/>
      <c r="G36" s="91"/>
      <c r="H36" s="91"/>
      <c r="I36" s="91"/>
      <c r="J36" s="91"/>
      <c r="K36" s="91"/>
      <c r="L36" s="91"/>
      <c r="M36" s="91"/>
      <c r="N36" s="91"/>
    </row>
    <row r="37" spans="1:17" s="82" customFormat="1" ht="14.1" customHeight="1">
      <c r="A37" s="82" t="s">
        <v>729</v>
      </c>
    </row>
    <row r="38" spans="1:17" s="82" customFormat="1" ht="14.1" customHeight="1">
      <c r="A38" s="82" t="s">
        <v>730</v>
      </c>
      <c r="B38" s="227"/>
      <c r="C38" s="227"/>
      <c r="D38" s="227"/>
      <c r="E38" s="227"/>
      <c r="F38" s="227"/>
      <c r="G38" s="227"/>
      <c r="H38" s="227"/>
      <c r="I38" s="93"/>
      <c r="J38" s="93"/>
      <c r="K38" s="93"/>
      <c r="L38" s="93"/>
      <c r="M38" s="93"/>
      <c r="N38" s="93"/>
    </row>
    <row r="39" spans="1:17" ht="14.1" customHeight="1"/>
    <row r="40" spans="1:17" ht="14.1" customHeight="1">
      <c r="C40" s="94"/>
      <c r="D40" s="139"/>
      <c r="E40" s="139"/>
      <c r="F40" s="139"/>
      <c r="G40" s="139"/>
      <c r="H40" s="139"/>
      <c r="I40" s="139"/>
      <c r="J40" s="139"/>
      <c r="K40" s="139"/>
      <c r="L40" s="139"/>
      <c r="M40" s="139"/>
      <c r="N40" s="139"/>
      <c r="O40" s="139"/>
      <c r="P40" s="139"/>
      <c r="Q40" s="139"/>
    </row>
  </sheetData>
  <mergeCells count="23">
    <mergeCell ref="A28:A29"/>
    <mergeCell ref="A30:A31"/>
    <mergeCell ref="A32:A33"/>
    <mergeCell ref="A34:A35"/>
    <mergeCell ref="A16:A17"/>
    <mergeCell ref="A18:A19"/>
    <mergeCell ref="A20:A21"/>
    <mergeCell ref="A22:A23"/>
    <mergeCell ref="A24:A25"/>
    <mergeCell ref="A26:A27"/>
    <mergeCell ref="A14:A15"/>
    <mergeCell ref="A1:Q1"/>
    <mergeCell ref="A2:B3"/>
    <mergeCell ref="C2:E2"/>
    <mergeCell ref="F2:H2"/>
    <mergeCell ref="I2:K2"/>
    <mergeCell ref="L2:N2"/>
    <mergeCell ref="O2:Q2"/>
    <mergeCell ref="A4:A5"/>
    <mergeCell ref="A6:A7"/>
    <mergeCell ref="A8:A9"/>
    <mergeCell ref="A10:A11"/>
    <mergeCell ref="A12:A13"/>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1"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13"/>
  <sheetViews>
    <sheetView showGridLines="0" zoomScaleNormal="100" workbookViewId="0">
      <pane xSplit="2" ySplit="2" topLeftCell="C6" activePane="bottomRight" state="frozen"/>
      <selection activeCell="F17" sqref="F17"/>
      <selection pane="topRight" activeCell="F17" sqref="F17"/>
      <selection pane="bottomLeft" activeCell="F17" sqref="F17"/>
      <selection pane="bottomRight" activeCell="J17" sqref="J17"/>
    </sheetView>
  </sheetViews>
  <sheetFormatPr defaultColWidth="8.875" defaultRowHeight="15.75"/>
  <cols>
    <col min="1" max="1" width="21.375" style="81" customWidth="1"/>
    <col min="2" max="2" width="6.375" style="81" customWidth="1"/>
    <col min="3" max="17" width="9.125" style="81" customWidth="1"/>
    <col min="18" max="256" width="9" style="81"/>
    <col min="257" max="257" width="21.375" style="81" customWidth="1"/>
    <col min="258" max="258" width="6.375" style="81" customWidth="1"/>
    <col min="259" max="273" width="6.875" style="81" customWidth="1"/>
    <col min="274" max="512" width="9" style="81"/>
    <col min="513" max="513" width="21.375" style="81" customWidth="1"/>
    <col min="514" max="514" width="6.375" style="81" customWidth="1"/>
    <col min="515" max="529" width="6.875" style="81" customWidth="1"/>
    <col min="530" max="768" width="9" style="81"/>
    <col min="769" max="769" width="21.375" style="81" customWidth="1"/>
    <col min="770" max="770" width="6.375" style="81" customWidth="1"/>
    <col min="771" max="785" width="6.875" style="81" customWidth="1"/>
    <col min="786" max="1024" width="9" style="81"/>
    <col min="1025" max="1025" width="21.375" style="81" customWidth="1"/>
    <col min="1026" max="1026" width="6.375" style="81" customWidth="1"/>
    <col min="1027" max="1041" width="6.875" style="81" customWidth="1"/>
    <col min="1042" max="1280" width="9" style="81"/>
    <col min="1281" max="1281" width="21.375" style="81" customWidth="1"/>
    <col min="1282" max="1282" width="6.375" style="81" customWidth="1"/>
    <col min="1283" max="1297" width="6.875" style="81" customWidth="1"/>
    <col min="1298" max="1536" width="9" style="81"/>
    <col min="1537" max="1537" width="21.375" style="81" customWidth="1"/>
    <col min="1538" max="1538" width="6.375" style="81" customWidth="1"/>
    <col min="1539" max="1553" width="6.875" style="81" customWidth="1"/>
    <col min="1554" max="1792" width="9" style="81"/>
    <col min="1793" max="1793" width="21.375" style="81" customWidth="1"/>
    <col min="1794" max="1794" width="6.375" style="81" customWidth="1"/>
    <col min="1795" max="1809" width="6.875" style="81" customWidth="1"/>
    <col min="1810" max="2048" width="9" style="81"/>
    <col min="2049" max="2049" width="21.375" style="81" customWidth="1"/>
    <col min="2050" max="2050" width="6.375" style="81" customWidth="1"/>
    <col min="2051" max="2065" width="6.875" style="81" customWidth="1"/>
    <col min="2066" max="2304" width="9" style="81"/>
    <col min="2305" max="2305" width="21.375" style="81" customWidth="1"/>
    <col min="2306" max="2306" width="6.375" style="81" customWidth="1"/>
    <col min="2307" max="2321" width="6.875" style="81" customWidth="1"/>
    <col min="2322" max="2560" width="9" style="81"/>
    <col min="2561" max="2561" width="21.375" style="81" customWidth="1"/>
    <col min="2562" max="2562" width="6.375" style="81" customWidth="1"/>
    <col min="2563" max="2577" width="6.875" style="81" customWidth="1"/>
    <col min="2578" max="2816" width="9" style="81"/>
    <col min="2817" max="2817" width="21.375" style="81" customWidth="1"/>
    <col min="2818" max="2818" width="6.375" style="81" customWidth="1"/>
    <col min="2819" max="2833" width="6.875" style="81" customWidth="1"/>
    <col min="2834" max="3072" width="9" style="81"/>
    <col min="3073" max="3073" width="21.375" style="81" customWidth="1"/>
    <col min="3074" max="3074" width="6.375" style="81" customWidth="1"/>
    <col min="3075" max="3089" width="6.875" style="81" customWidth="1"/>
    <col min="3090" max="3328" width="9" style="81"/>
    <col min="3329" max="3329" width="21.375" style="81" customWidth="1"/>
    <col min="3330" max="3330" width="6.375" style="81" customWidth="1"/>
    <col min="3331" max="3345" width="6.875" style="81" customWidth="1"/>
    <col min="3346" max="3584" width="9" style="81"/>
    <col min="3585" max="3585" width="21.375" style="81" customWidth="1"/>
    <col min="3586" max="3586" width="6.375" style="81" customWidth="1"/>
    <col min="3587" max="3601" width="6.875" style="81" customWidth="1"/>
    <col min="3602" max="3840" width="9" style="81"/>
    <col min="3841" max="3841" width="21.375" style="81" customWidth="1"/>
    <col min="3842" max="3842" width="6.375" style="81" customWidth="1"/>
    <col min="3843" max="3857" width="6.875" style="81" customWidth="1"/>
    <col min="3858" max="4096" width="9" style="81"/>
    <col min="4097" max="4097" width="21.375" style="81" customWidth="1"/>
    <col min="4098" max="4098" width="6.375" style="81" customWidth="1"/>
    <col min="4099" max="4113" width="6.875" style="81" customWidth="1"/>
    <col min="4114" max="4352" width="9" style="81"/>
    <col min="4353" max="4353" width="21.375" style="81" customWidth="1"/>
    <col min="4354" max="4354" width="6.375" style="81" customWidth="1"/>
    <col min="4355" max="4369" width="6.875" style="81" customWidth="1"/>
    <col min="4370" max="4608" width="9" style="81"/>
    <col min="4609" max="4609" width="21.375" style="81" customWidth="1"/>
    <col min="4610" max="4610" width="6.375" style="81" customWidth="1"/>
    <col min="4611" max="4625" width="6.875" style="81" customWidth="1"/>
    <col min="4626" max="4864" width="9" style="81"/>
    <col min="4865" max="4865" width="21.375" style="81" customWidth="1"/>
    <col min="4866" max="4866" width="6.375" style="81" customWidth="1"/>
    <col min="4867" max="4881" width="6.875" style="81" customWidth="1"/>
    <col min="4882" max="5120" width="9" style="81"/>
    <col min="5121" max="5121" width="21.375" style="81" customWidth="1"/>
    <col min="5122" max="5122" width="6.375" style="81" customWidth="1"/>
    <col min="5123" max="5137" width="6.875" style="81" customWidth="1"/>
    <col min="5138" max="5376" width="9" style="81"/>
    <col min="5377" max="5377" width="21.375" style="81" customWidth="1"/>
    <col min="5378" max="5378" width="6.375" style="81" customWidth="1"/>
    <col min="5379" max="5393" width="6.875" style="81" customWidth="1"/>
    <col min="5394" max="5632" width="9" style="81"/>
    <col min="5633" max="5633" width="21.375" style="81" customWidth="1"/>
    <col min="5634" max="5634" width="6.375" style="81" customWidth="1"/>
    <col min="5635" max="5649" width="6.875" style="81" customWidth="1"/>
    <col min="5650" max="5888" width="9" style="81"/>
    <col min="5889" max="5889" width="21.375" style="81" customWidth="1"/>
    <col min="5890" max="5890" width="6.375" style="81" customWidth="1"/>
    <col min="5891" max="5905" width="6.875" style="81" customWidth="1"/>
    <col min="5906" max="6144" width="9" style="81"/>
    <col min="6145" max="6145" width="21.375" style="81" customWidth="1"/>
    <col min="6146" max="6146" width="6.375" style="81" customWidth="1"/>
    <col min="6147" max="6161" width="6.875" style="81" customWidth="1"/>
    <col min="6162" max="6400" width="9" style="81"/>
    <col min="6401" max="6401" width="21.375" style="81" customWidth="1"/>
    <col min="6402" max="6402" width="6.375" style="81" customWidth="1"/>
    <col min="6403" max="6417" width="6.875" style="81" customWidth="1"/>
    <col min="6418" max="6656" width="9" style="81"/>
    <col min="6657" max="6657" width="21.375" style="81" customWidth="1"/>
    <col min="6658" max="6658" width="6.375" style="81" customWidth="1"/>
    <col min="6659" max="6673" width="6.875" style="81" customWidth="1"/>
    <col min="6674" max="6912" width="9" style="81"/>
    <col min="6913" max="6913" width="21.375" style="81" customWidth="1"/>
    <col min="6914" max="6914" width="6.375" style="81" customWidth="1"/>
    <col min="6915" max="6929" width="6.875" style="81" customWidth="1"/>
    <col min="6930" max="7168" width="9" style="81"/>
    <col min="7169" max="7169" width="21.375" style="81" customWidth="1"/>
    <col min="7170" max="7170" width="6.375" style="81" customWidth="1"/>
    <col min="7171" max="7185" width="6.875" style="81" customWidth="1"/>
    <col min="7186" max="7424" width="9" style="81"/>
    <col min="7425" max="7425" width="21.375" style="81" customWidth="1"/>
    <col min="7426" max="7426" width="6.375" style="81" customWidth="1"/>
    <col min="7427" max="7441" width="6.875" style="81" customWidth="1"/>
    <col min="7442" max="7680" width="9" style="81"/>
    <col min="7681" max="7681" width="21.375" style="81" customWidth="1"/>
    <col min="7682" max="7682" width="6.375" style="81" customWidth="1"/>
    <col min="7683" max="7697" width="6.875" style="81" customWidth="1"/>
    <col min="7698" max="7936" width="9" style="81"/>
    <col min="7937" max="7937" width="21.375" style="81" customWidth="1"/>
    <col min="7938" max="7938" width="6.375" style="81" customWidth="1"/>
    <col min="7939" max="7953" width="6.875" style="81" customWidth="1"/>
    <col min="7954" max="8192" width="9" style="81"/>
    <col min="8193" max="8193" width="21.375" style="81" customWidth="1"/>
    <col min="8194" max="8194" width="6.375" style="81" customWidth="1"/>
    <col min="8195" max="8209" width="6.875" style="81" customWidth="1"/>
    <col min="8210" max="8448" width="9" style="81"/>
    <col min="8449" max="8449" width="21.375" style="81" customWidth="1"/>
    <col min="8450" max="8450" width="6.375" style="81" customWidth="1"/>
    <col min="8451" max="8465" width="6.875" style="81" customWidth="1"/>
    <col min="8466" max="8704" width="9" style="81"/>
    <col min="8705" max="8705" width="21.375" style="81" customWidth="1"/>
    <col min="8706" max="8706" width="6.375" style="81" customWidth="1"/>
    <col min="8707" max="8721" width="6.875" style="81" customWidth="1"/>
    <col min="8722" max="8960" width="9" style="81"/>
    <col min="8961" max="8961" width="21.375" style="81" customWidth="1"/>
    <col min="8962" max="8962" width="6.375" style="81" customWidth="1"/>
    <col min="8963" max="8977" width="6.875" style="81" customWidth="1"/>
    <col min="8978" max="9216" width="9" style="81"/>
    <col min="9217" max="9217" width="21.375" style="81" customWidth="1"/>
    <col min="9218" max="9218" width="6.375" style="81" customWidth="1"/>
    <col min="9219" max="9233" width="6.875" style="81" customWidth="1"/>
    <col min="9234" max="9472" width="9" style="81"/>
    <col min="9473" max="9473" width="21.375" style="81" customWidth="1"/>
    <col min="9474" max="9474" width="6.375" style="81" customWidth="1"/>
    <col min="9475" max="9489" width="6.875" style="81" customWidth="1"/>
    <col min="9490" max="9728" width="9" style="81"/>
    <col min="9729" max="9729" width="21.375" style="81" customWidth="1"/>
    <col min="9730" max="9730" width="6.375" style="81" customWidth="1"/>
    <col min="9731" max="9745" width="6.875" style="81" customWidth="1"/>
    <col min="9746" max="9984" width="9" style="81"/>
    <col min="9985" max="9985" width="21.375" style="81" customWidth="1"/>
    <col min="9986" max="9986" width="6.375" style="81" customWidth="1"/>
    <col min="9987" max="10001" width="6.875" style="81" customWidth="1"/>
    <col min="10002" max="10240" width="9" style="81"/>
    <col min="10241" max="10241" width="21.375" style="81" customWidth="1"/>
    <col min="10242" max="10242" width="6.375" style="81" customWidth="1"/>
    <col min="10243" max="10257" width="6.875" style="81" customWidth="1"/>
    <col min="10258" max="10496" width="9" style="81"/>
    <col min="10497" max="10497" width="21.375" style="81" customWidth="1"/>
    <col min="10498" max="10498" width="6.375" style="81" customWidth="1"/>
    <col min="10499" max="10513" width="6.875" style="81" customWidth="1"/>
    <col min="10514" max="10752" width="9" style="81"/>
    <col min="10753" max="10753" width="21.375" style="81" customWidth="1"/>
    <col min="10754" max="10754" width="6.375" style="81" customWidth="1"/>
    <col min="10755" max="10769" width="6.875" style="81" customWidth="1"/>
    <col min="10770" max="11008" width="9" style="81"/>
    <col min="11009" max="11009" width="21.375" style="81" customWidth="1"/>
    <col min="11010" max="11010" width="6.375" style="81" customWidth="1"/>
    <col min="11011" max="11025" width="6.875" style="81" customWidth="1"/>
    <col min="11026" max="11264" width="9" style="81"/>
    <col min="11265" max="11265" width="21.375" style="81" customWidth="1"/>
    <col min="11266" max="11266" width="6.375" style="81" customWidth="1"/>
    <col min="11267" max="11281" width="6.875" style="81" customWidth="1"/>
    <col min="11282" max="11520" width="9" style="81"/>
    <col min="11521" max="11521" width="21.375" style="81" customWidth="1"/>
    <col min="11522" max="11522" width="6.375" style="81" customWidth="1"/>
    <col min="11523" max="11537" width="6.875" style="81" customWidth="1"/>
    <col min="11538" max="11776" width="9" style="81"/>
    <col min="11777" max="11777" width="21.375" style="81" customWidth="1"/>
    <col min="11778" max="11778" width="6.375" style="81" customWidth="1"/>
    <col min="11779" max="11793" width="6.875" style="81" customWidth="1"/>
    <col min="11794" max="12032" width="9" style="81"/>
    <col min="12033" max="12033" width="21.375" style="81" customWidth="1"/>
    <col min="12034" max="12034" width="6.375" style="81" customWidth="1"/>
    <col min="12035" max="12049" width="6.875" style="81" customWidth="1"/>
    <col min="12050" max="12288" width="9" style="81"/>
    <col min="12289" max="12289" width="21.375" style="81" customWidth="1"/>
    <col min="12290" max="12290" width="6.375" style="81" customWidth="1"/>
    <col min="12291" max="12305" width="6.875" style="81" customWidth="1"/>
    <col min="12306" max="12544" width="9" style="81"/>
    <col min="12545" max="12545" width="21.375" style="81" customWidth="1"/>
    <col min="12546" max="12546" width="6.375" style="81" customWidth="1"/>
    <col min="12547" max="12561" width="6.875" style="81" customWidth="1"/>
    <col min="12562" max="12800" width="9" style="81"/>
    <col min="12801" max="12801" width="21.375" style="81" customWidth="1"/>
    <col min="12802" max="12802" width="6.375" style="81" customWidth="1"/>
    <col min="12803" max="12817" width="6.875" style="81" customWidth="1"/>
    <col min="12818" max="13056" width="9" style="81"/>
    <col min="13057" max="13057" width="21.375" style="81" customWidth="1"/>
    <col min="13058" max="13058" width="6.375" style="81" customWidth="1"/>
    <col min="13059" max="13073" width="6.875" style="81" customWidth="1"/>
    <col min="13074" max="13312" width="9" style="81"/>
    <col min="13313" max="13313" width="21.375" style="81" customWidth="1"/>
    <col min="13314" max="13314" width="6.375" style="81" customWidth="1"/>
    <col min="13315" max="13329" width="6.875" style="81" customWidth="1"/>
    <col min="13330" max="13568" width="9" style="81"/>
    <col min="13569" max="13569" width="21.375" style="81" customWidth="1"/>
    <col min="13570" max="13570" width="6.375" style="81" customWidth="1"/>
    <col min="13571" max="13585" width="6.875" style="81" customWidth="1"/>
    <col min="13586" max="13824" width="9" style="81"/>
    <col min="13825" max="13825" width="21.375" style="81" customWidth="1"/>
    <col min="13826" max="13826" width="6.375" style="81" customWidth="1"/>
    <col min="13827" max="13841" width="6.875" style="81" customWidth="1"/>
    <col min="13842" max="14080" width="9" style="81"/>
    <col min="14081" max="14081" width="21.375" style="81" customWidth="1"/>
    <col min="14082" max="14082" width="6.375" style="81" customWidth="1"/>
    <col min="14083" max="14097" width="6.875" style="81" customWidth="1"/>
    <col min="14098" max="14336" width="9" style="81"/>
    <col min="14337" max="14337" width="21.375" style="81" customWidth="1"/>
    <col min="14338" max="14338" width="6.375" style="81" customWidth="1"/>
    <col min="14339" max="14353" width="6.875" style="81" customWidth="1"/>
    <col min="14354" max="14592" width="9" style="81"/>
    <col min="14593" max="14593" width="21.375" style="81" customWidth="1"/>
    <col min="14594" max="14594" width="6.375" style="81" customWidth="1"/>
    <col min="14595" max="14609" width="6.875" style="81" customWidth="1"/>
    <col min="14610" max="14848" width="9" style="81"/>
    <col min="14849" max="14849" width="21.375" style="81" customWidth="1"/>
    <col min="14850" max="14850" width="6.375" style="81" customWidth="1"/>
    <col min="14851" max="14865" width="6.875" style="81" customWidth="1"/>
    <col min="14866" max="15104" width="9" style="81"/>
    <col min="15105" max="15105" width="21.375" style="81" customWidth="1"/>
    <col min="15106" max="15106" width="6.375" style="81" customWidth="1"/>
    <col min="15107" max="15121" width="6.875" style="81" customWidth="1"/>
    <col min="15122" max="15360" width="9" style="81"/>
    <col min="15361" max="15361" width="21.375" style="81" customWidth="1"/>
    <col min="15362" max="15362" width="6.375" style="81" customWidth="1"/>
    <col min="15363" max="15377" width="6.875" style="81" customWidth="1"/>
    <col min="15378" max="15616" width="9" style="81"/>
    <col min="15617" max="15617" width="21.375" style="81" customWidth="1"/>
    <col min="15618" max="15618" width="6.375" style="81" customWidth="1"/>
    <col min="15619" max="15633" width="6.875" style="81" customWidth="1"/>
    <col min="15634" max="15872" width="9" style="81"/>
    <col min="15873" max="15873" width="21.375" style="81" customWidth="1"/>
    <col min="15874" max="15874" width="6.375" style="81" customWidth="1"/>
    <col min="15875" max="15889" width="6.875" style="81" customWidth="1"/>
    <col min="15890" max="16128" width="9" style="81"/>
    <col min="16129" max="16129" width="21.375" style="81" customWidth="1"/>
    <col min="16130" max="16130" width="6.375" style="81" customWidth="1"/>
    <col min="16131" max="16145" width="6.875" style="81" customWidth="1"/>
    <col min="16146" max="16384" width="9" style="81"/>
  </cols>
  <sheetData>
    <row r="1" spans="1:17" s="80" customFormat="1" ht="30" customHeight="1">
      <c r="A1" s="437" t="s">
        <v>731</v>
      </c>
      <c r="B1" s="437"/>
      <c r="C1" s="437"/>
      <c r="D1" s="437"/>
      <c r="E1" s="437"/>
      <c r="F1" s="437"/>
      <c r="G1" s="437"/>
      <c r="H1" s="437"/>
      <c r="I1" s="437"/>
      <c r="J1" s="437"/>
      <c r="K1" s="437"/>
      <c r="L1" s="437"/>
      <c r="M1" s="437"/>
      <c r="N1" s="437"/>
      <c r="O1" s="438"/>
      <c r="P1" s="438"/>
      <c r="Q1" s="438"/>
    </row>
    <row r="2" spans="1:17" ht="30" customHeight="1">
      <c r="A2" s="419"/>
      <c r="B2" s="419"/>
      <c r="C2" s="421" t="s">
        <v>680</v>
      </c>
      <c r="D2" s="421"/>
      <c r="E2" s="421"/>
      <c r="F2" s="421" t="s">
        <v>35</v>
      </c>
      <c r="G2" s="421"/>
      <c r="H2" s="421"/>
      <c r="I2" s="421" t="s">
        <v>36</v>
      </c>
      <c r="J2" s="421"/>
      <c r="K2" s="421"/>
      <c r="L2" s="421" t="s">
        <v>37</v>
      </c>
      <c r="M2" s="421"/>
      <c r="N2" s="421"/>
      <c r="O2" s="421" t="s">
        <v>567</v>
      </c>
      <c r="P2" s="421"/>
      <c r="Q2" s="421"/>
    </row>
    <row r="3" spans="1:17" ht="30" customHeight="1">
      <c r="A3" s="420"/>
      <c r="B3" s="420"/>
      <c r="C3" s="188" t="s">
        <v>732</v>
      </c>
      <c r="D3" s="188" t="s">
        <v>733</v>
      </c>
      <c r="E3" s="188" t="s">
        <v>349</v>
      </c>
      <c r="F3" s="188" t="s">
        <v>732</v>
      </c>
      <c r="G3" s="188" t="s">
        <v>348</v>
      </c>
      <c r="H3" s="188" t="s">
        <v>734</v>
      </c>
      <c r="I3" s="188" t="s">
        <v>347</v>
      </c>
      <c r="J3" s="188" t="s">
        <v>348</v>
      </c>
      <c r="K3" s="188" t="s">
        <v>734</v>
      </c>
      <c r="L3" s="190" t="s">
        <v>347</v>
      </c>
      <c r="M3" s="190" t="s">
        <v>733</v>
      </c>
      <c r="N3" s="190" t="s">
        <v>734</v>
      </c>
      <c r="O3" s="190" t="s">
        <v>347</v>
      </c>
      <c r="P3" s="190" t="s">
        <v>348</v>
      </c>
      <c r="Q3" s="190" t="s">
        <v>734</v>
      </c>
    </row>
    <row r="4" spans="1:17" s="89" customFormat="1" ht="54" customHeight="1">
      <c r="A4" s="420" t="s">
        <v>360</v>
      </c>
      <c r="B4" s="145" t="s">
        <v>735</v>
      </c>
      <c r="C4" s="137">
        <f t="shared" ref="C4:Q5" si="0">SUM(C6,C8,C10)</f>
        <v>738</v>
      </c>
      <c r="D4" s="137">
        <f t="shared" si="0"/>
        <v>636</v>
      </c>
      <c r="E4" s="137">
        <f t="shared" si="0"/>
        <v>102</v>
      </c>
      <c r="F4" s="137">
        <f t="shared" si="0"/>
        <v>475</v>
      </c>
      <c r="G4" s="137">
        <f t="shared" si="0"/>
        <v>420</v>
      </c>
      <c r="H4" s="137">
        <f t="shared" si="0"/>
        <v>55</v>
      </c>
      <c r="I4" s="137">
        <f t="shared" si="0"/>
        <v>473</v>
      </c>
      <c r="J4" s="137">
        <f t="shared" si="0"/>
        <v>402</v>
      </c>
      <c r="K4" s="137">
        <f t="shared" si="0"/>
        <v>71</v>
      </c>
      <c r="L4" s="137">
        <f t="shared" si="0"/>
        <v>475</v>
      </c>
      <c r="M4" s="137">
        <f t="shared" si="0"/>
        <v>430</v>
      </c>
      <c r="N4" s="138">
        <f t="shared" si="0"/>
        <v>45</v>
      </c>
      <c r="O4" s="137">
        <f t="shared" si="0"/>
        <v>362</v>
      </c>
      <c r="P4" s="137">
        <f t="shared" si="0"/>
        <v>331</v>
      </c>
      <c r="Q4" s="138">
        <f t="shared" si="0"/>
        <v>31</v>
      </c>
    </row>
    <row r="5" spans="1:17" s="90" customFormat="1" ht="54" customHeight="1">
      <c r="A5" s="420"/>
      <c r="B5" s="135" t="s">
        <v>351</v>
      </c>
      <c r="C5" s="139">
        <f t="shared" si="0"/>
        <v>100</v>
      </c>
      <c r="D5" s="139">
        <f t="shared" si="0"/>
        <v>100</v>
      </c>
      <c r="E5" s="139">
        <f t="shared" si="0"/>
        <v>100</v>
      </c>
      <c r="F5" s="139">
        <f t="shared" si="0"/>
        <v>100.00000000000001</v>
      </c>
      <c r="G5" s="139">
        <f t="shared" si="0"/>
        <v>99.999999999999986</v>
      </c>
      <c r="H5" s="139">
        <f t="shared" si="0"/>
        <v>100</v>
      </c>
      <c r="I5" s="139">
        <f t="shared" si="0"/>
        <v>100</v>
      </c>
      <c r="J5" s="139">
        <f t="shared" si="0"/>
        <v>100</v>
      </c>
      <c r="K5" s="139">
        <f t="shared" si="0"/>
        <v>100</v>
      </c>
      <c r="L5" s="139">
        <f t="shared" si="0"/>
        <v>100</v>
      </c>
      <c r="M5" s="139">
        <f t="shared" si="0"/>
        <v>100</v>
      </c>
      <c r="N5" s="139">
        <f t="shared" si="0"/>
        <v>100</v>
      </c>
      <c r="O5" s="139">
        <f t="shared" si="0"/>
        <v>100</v>
      </c>
      <c r="P5" s="139">
        <f t="shared" si="0"/>
        <v>100</v>
      </c>
      <c r="Q5" s="139">
        <f t="shared" si="0"/>
        <v>100</v>
      </c>
    </row>
    <row r="6" spans="1:17" s="89" customFormat="1" ht="54" customHeight="1">
      <c r="A6" s="420" t="s">
        <v>736</v>
      </c>
      <c r="B6" s="145" t="s">
        <v>350</v>
      </c>
      <c r="C6" s="137">
        <v>298</v>
      </c>
      <c r="D6" s="137">
        <v>196</v>
      </c>
      <c r="E6" s="137">
        <v>102</v>
      </c>
      <c r="F6" s="137">
        <v>163</v>
      </c>
      <c r="G6" s="137">
        <v>108</v>
      </c>
      <c r="H6" s="137">
        <v>55</v>
      </c>
      <c r="I6" s="137">
        <v>209</v>
      </c>
      <c r="J6" s="137">
        <v>138</v>
      </c>
      <c r="K6" s="137">
        <v>71</v>
      </c>
      <c r="L6" s="137">
        <v>172</v>
      </c>
      <c r="M6" s="137">
        <v>127</v>
      </c>
      <c r="N6" s="137">
        <v>45</v>
      </c>
      <c r="O6" s="137">
        <v>141</v>
      </c>
      <c r="P6" s="137">
        <v>110</v>
      </c>
      <c r="Q6" s="137">
        <v>31</v>
      </c>
    </row>
    <row r="7" spans="1:17" s="90" customFormat="1" ht="54" customHeight="1">
      <c r="A7" s="420"/>
      <c r="B7" s="135" t="s">
        <v>351</v>
      </c>
      <c r="C7" s="139">
        <f>IFERROR(C6/C$4*100,"-")</f>
        <v>40.379403794037941</v>
      </c>
      <c r="D7" s="139">
        <f t="shared" ref="D7:Q7" si="1">IFERROR(D6/D$4*100,"-")</f>
        <v>30.817610062893081</v>
      </c>
      <c r="E7" s="139">
        <f t="shared" si="1"/>
        <v>100</v>
      </c>
      <c r="F7" s="139">
        <f t="shared" si="1"/>
        <v>34.315789473684212</v>
      </c>
      <c r="G7" s="139">
        <f t="shared" si="1"/>
        <v>25.714285714285712</v>
      </c>
      <c r="H7" s="139">
        <f t="shared" si="1"/>
        <v>100</v>
      </c>
      <c r="I7" s="139">
        <f t="shared" si="1"/>
        <v>44.186046511627907</v>
      </c>
      <c r="J7" s="139">
        <f t="shared" si="1"/>
        <v>34.328358208955223</v>
      </c>
      <c r="K7" s="139">
        <f t="shared" si="1"/>
        <v>100</v>
      </c>
      <c r="L7" s="139">
        <f t="shared" si="1"/>
        <v>36.21052631578948</v>
      </c>
      <c r="M7" s="139">
        <f t="shared" si="1"/>
        <v>29.534883720930232</v>
      </c>
      <c r="N7" s="139">
        <f t="shared" si="1"/>
        <v>100</v>
      </c>
      <c r="O7" s="139">
        <f t="shared" si="1"/>
        <v>38.950276243093924</v>
      </c>
      <c r="P7" s="139">
        <f t="shared" si="1"/>
        <v>33.23262839879154</v>
      </c>
      <c r="Q7" s="139">
        <f t="shared" si="1"/>
        <v>100</v>
      </c>
    </row>
    <row r="8" spans="1:17" s="89" customFormat="1" ht="54" customHeight="1">
      <c r="A8" s="420" t="s">
        <v>737</v>
      </c>
      <c r="B8" s="145" t="s">
        <v>735</v>
      </c>
      <c r="C8" s="137">
        <v>297</v>
      </c>
      <c r="D8" s="137">
        <v>297</v>
      </c>
      <c r="E8" s="137" t="s">
        <v>9</v>
      </c>
      <c r="F8" s="137">
        <v>172</v>
      </c>
      <c r="G8" s="137">
        <v>172</v>
      </c>
      <c r="H8" s="137" t="s">
        <v>9</v>
      </c>
      <c r="I8" s="137">
        <v>155</v>
      </c>
      <c r="J8" s="137">
        <v>155</v>
      </c>
      <c r="K8" s="137" t="s">
        <v>9</v>
      </c>
      <c r="L8" s="137">
        <v>197</v>
      </c>
      <c r="M8" s="137">
        <v>197</v>
      </c>
      <c r="N8" s="137" t="s">
        <v>9</v>
      </c>
      <c r="O8" s="137">
        <v>120</v>
      </c>
      <c r="P8" s="137">
        <v>120</v>
      </c>
      <c r="Q8" s="137" t="s">
        <v>9</v>
      </c>
    </row>
    <row r="9" spans="1:17" s="90" customFormat="1" ht="54" customHeight="1">
      <c r="A9" s="420"/>
      <c r="B9" s="135" t="s">
        <v>351</v>
      </c>
      <c r="C9" s="139">
        <f>IFERROR(C8/C$4*100,"-")</f>
        <v>40.243902439024396</v>
      </c>
      <c r="D9" s="139">
        <f t="shared" ref="D9:Q9" si="2">IFERROR(D8/D$4*100,"-")</f>
        <v>46.698113207547173</v>
      </c>
      <c r="E9" s="139" t="str">
        <f t="shared" si="2"/>
        <v>-</v>
      </c>
      <c r="F9" s="139">
        <f t="shared" si="2"/>
        <v>36.21052631578948</v>
      </c>
      <c r="G9" s="139">
        <f t="shared" si="2"/>
        <v>40.952380952380949</v>
      </c>
      <c r="H9" s="139" t="str">
        <f t="shared" si="2"/>
        <v>-</v>
      </c>
      <c r="I9" s="139">
        <f t="shared" si="2"/>
        <v>32.76955602536998</v>
      </c>
      <c r="J9" s="139">
        <f t="shared" si="2"/>
        <v>38.557213930348261</v>
      </c>
      <c r="K9" s="139" t="str">
        <f t="shared" si="2"/>
        <v>-</v>
      </c>
      <c r="L9" s="139">
        <f t="shared" si="2"/>
        <v>41.473684210526315</v>
      </c>
      <c r="M9" s="139">
        <f t="shared" si="2"/>
        <v>45.813953488372093</v>
      </c>
      <c r="N9" s="139" t="str">
        <f t="shared" si="2"/>
        <v>-</v>
      </c>
      <c r="O9" s="139">
        <f t="shared" si="2"/>
        <v>33.149171270718227</v>
      </c>
      <c r="P9" s="139">
        <f t="shared" si="2"/>
        <v>36.253776435045317</v>
      </c>
      <c r="Q9" s="139" t="str">
        <f t="shared" si="2"/>
        <v>-</v>
      </c>
    </row>
    <row r="10" spans="1:17" s="89" customFormat="1" ht="54" customHeight="1">
      <c r="A10" s="420" t="s">
        <v>738</v>
      </c>
      <c r="B10" s="145" t="s">
        <v>735</v>
      </c>
      <c r="C10" s="137">
        <v>143</v>
      </c>
      <c r="D10" s="137">
        <v>143</v>
      </c>
      <c r="E10" s="137" t="s">
        <v>9</v>
      </c>
      <c r="F10" s="137">
        <v>140</v>
      </c>
      <c r="G10" s="137">
        <v>140</v>
      </c>
      <c r="H10" s="137" t="s">
        <v>9</v>
      </c>
      <c r="I10" s="137">
        <v>109</v>
      </c>
      <c r="J10" s="137">
        <v>109</v>
      </c>
      <c r="K10" s="137" t="s">
        <v>9</v>
      </c>
      <c r="L10" s="137">
        <v>106</v>
      </c>
      <c r="M10" s="137">
        <v>106</v>
      </c>
      <c r="N10" s="137" t="s">
        <v>9</v>
      </c>
      <c r="O10" s="137">
        <v>101</v>
      </c>
      <c r="P10" s="137">
        <v>101</v>
      </c>
      <c r="Q10" s="137" t="s">
        <v>9</v>
      </c>
    </row>
    <row r="11" spans="1:17" s="90" customFormat="1" ht="54" customHeight="1">
      <c r="A11" s="422"/>
      <c r="B11" s="136" t="s">
        <v>351</v>
      </c>
      <c r="C11" s="140">
        <f>IFERROR(C10/C$4*100,"-")</f>
        <v>19.37669376693767</v>
      </c>
      <c r="D11" s="140">
        <f t="shared" ref="D11:Q11" si="3">IFERROR(D10/D$4*100,"-")</f>
        <v>22.484276729559749</v>
      </c>
      <c r="E11" s="140" t="str">
        <f t="shared" si="3"/>
        <v>-</v>
      </c>
      <c r="F11" s="140">
        <f t="shared" si="3"/>
        <v>29.473684210526311</v>
      </c>
      <c r="G11" s="140">
        <f t="shared" si="3"/>
        <v>33.333333333333329</v>
      </c>
      <c r="H11" s="140" t="str">
        <f t="shared" si="3"/>
        <v>-</v>
      </c>
      <c r="I11" s="140">
        <f t="shared" si="3"/>
        <v>23.044397463002113</v>
      </c>
      <c r="J11" s="140">
        <f t="shared" si="3"/>
        <v>27.114427860696516</v>
      </c>
      <c r="K11" s="140" t="str">
        <f t="shared" si="3"/>
        <v>-</v>
      </c>
      <c r="L11" s="140">
        <f t="shared" si="3"/>
        <v>22.315789473684212</v>
      </c>
      <c r="M11" s="140">
        <f t="shared" si="3"/>
        <v>24.651162790697676</v>
      </c>
      <c r="N11" s="140" t="str">
        <f t="shared" si="3"/>
        <v>-</v>
      </c>
      <c r="O11" s="140">
        <f t="shared" si="3"/>
        <v>27.900552486187845</v>
      </c>
      <c r="P11" s="140">
        <f t="shared" si="3"/>
        <v>30.513595166163142</v>
      </c>
      <c r="Q11" s="140" t="str">
        <f t="shared" si="3"/>
        <v>-</v>
      </c>
    </row>
    <row r="12" spans="1:17">
      <c r="A12" s="146" t="s">
        <v>438</v>
      </c>
      <c r="C12" s="95"/>
      <c r="D12" s="95"/>
      <c r="E12" s="95"/>
      <c r="F12" s="95"/>
      <c r="G12" s="95"/>
      <c r="H12" s="95"/>
      <c r="I12" s="95"/>
      <c r="J12" s="95"/>
      <c r="K12" s="95"/>
    </row>
    <row r="13" spans="1:17" ht="40.5" customHeight="1">
      <c r="A13" s="458" t="s">
        <v>739</v>
      </c>
      <c r="B13" s="459"/>
      <c r="C13" s="459"/>
      <c r="D13" s="459"/>
      <c r="E13" s="459"/>
      <c r="F13" s="459"/>
      <c r="G13" s="459"/>
      <c r="H13" s="459"/>
      <c r="I13" s="459"/>
      <c r="J13" s="459"/>
      <c r="K13" s="459"/>
      <c r="L13" s="459"/>
      <c r="M13" s="459"/>
      <c r="N13" s="459"/>
      <c r="O13" s="459"/>
      <c r="P13" s="459"/>
      <c r="Q13" s="459"/>
    </row>
  </sheetData>
  <mergeCells count="12">
    <mergeCell ref="A1:Q1"/>
    <mergeCell ref="A2:B3"/>
    <mergeCell ref="C2:E2"/>
    <mergeCell ref="F2:H2"/>
    <mergeCell ref="I2:K2"/>
    <mergeCell ref="L2:N2"/>
    <mergeCell ref="O2:Q2"/>
    <mergeCell ref="A13:Q13"/>
    <mergeCell ref="A4:A5"/>
    <mergeCell ref="A6:A7"/>
    <mergeCell ref="A8:A9"/>
    <mergeCell ref="A10:A11"/>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7"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16"/>
  <sheetViews>
    <sheetView showGridLines="0" zoomScaleNormal="100" workbookViewId="0">
      <pane xSplit="2" ySplit="2" topLeftCell="C3" activePane="bottomRight" state="frozen"/>
      <selection activeCell="F17" sqref="F17"/>
      <selection pane="topRight" activeCell="F17" sqref="F17"/>
      <selection pane="bottomLeft" activeCell="F17" sqref="F17"/>
      <selection pane="bottomRight" activeCell="F17" sqref="F17"/>
    </sheetView>
  </sheetViews>
  <sheetFormatPr defaultColWidth="8.875" defaultRowHeight="15.75"/>
  <cols>
    <col min="1" max="1" width="21.375" style="81" customWidth="1"/>
    <col min="2" max="2" width="6.375" style="81" customWidth="1"/>
    <col min="3" max="17" width="8.875" style="81" customWidth="1"/>
    <col min="18" max="256" width="9" style="81"/>
    <col min="257" max="257" width="21.375" style="81" customWidth="1"/>
    <col min="258" max="258" width="6.375" style="81" customWidth="1"/>
    <col min="259" max="259" width="8.625" style="81" customWidth="1"/>
    <col min="260" max="266" width="6.875" style="81" customWidth="1"/>
    <col min="267" max="273" width="7.125" style="81" customWidth="1"/>
    <col min="274" max="512" width="9" style="81"/>
    <col min="513" max="513" width="21.375" style="81" customWidth="1"/>
    <col min="514" max="514" width="6.375" style="81" customWidth="1"/>
    <col min="515" max="515" width="8.625" style="81" customWidth="1"/>
    <col min="516" max="522" width="6.875" style="81" customWidth="1"/>
    <col min="523" max="529" width="7.125" style="81" customWidth="1"/>
    <col min="530" max="768" width="9" style="81"/>
    <col min="769" max="769" width="21.375" style="81" customWidth="1"/>
    <col min="770" max="770" width="6.375" style="81" customWidth="1"/>
    <col min="771" max="771" width="8.625" style="81" customWidth="1"/>
    <col min="772" max="778" width="6.875" style="81" customWidth="1"/>
    <col min="779" max="785" width="7.125" style="81" customWidth="1"/>
    <col min="786" max="1024" width="9" style="81"/>
    <col min="1025" max="1025" width="21.375" style="81" customWidth="1"/>
    <col min="1026" max="1026" width="6.375" style="81" customWidth="1"/>
    <col min="1027" max="1027" width="8.625" style="81" customWidth="1"/>
    <col min="1028" max="1034" width="6.875" style="81" customWidth="1"/>
    <col min="1035" max="1041" width="7.125" style="81" customWidth="1"/>
    <col min="1042" max="1280" width="9" style="81"/>
    <col min="1281" max="1281" width="21.375" style="81" customWidth="1"/>
    <col min="1282" max="1282" width="6.375" style="81" customWidth="1"/>
    <col min="1283" max="1283" width="8.625" style="81" customWidth="1"/>
    <col min="1284" max="1290" width="6.875" style="81" customWidth="1"/>
    <col min="1291" max="1297" width="7.125" style="81" customWidth="1"/>
    <col min="1298" max="1536" width="9" style="81"/>
    <col min="1537" max="1537" width="21.375" style="81" customWidth="1"/>
    <col min="1538" max="1538" width="6.375" style="81" customWidth="1"/>
    <col min="1539" max="1539" width="8.625" style="81" customWidth="1"/>
    <col min="1540" max="1546" width="6.875" style="81" customWidth="1"/>
    <col min="1547" max="1553" width="7.125" style="81" customWidth="1"/>
    <col min="1554" max="1792" width="9" style="81"/>
    <col min="1793" max="1793" width="21.375" style="81" customWidth="1"/>
    <col min="1794" max="1794" width="6.375" style="81" customWidth="1"/>
    <col min="1795" max="1795" width="8.625" style="81" customWidth="1"/>
    <col min="1796" max="1802" width="6.875" style="81" customWidth="1"/>
    <col min="1803" max="1809" width="7.125" style="81" customWidth="1"/>
    <col min="1810" max="2048" width="9" style="81"/>
    <col min="2049" max="2049" width="21.375" style="81" customWidth="1"/>
    <col min="2050" max="2050" width="6.375" style="81" customWidth="1"/>
    <col min="2051" max="2051" width="8.625" style="81" customWidth="1"/>
    <col min="2052" max="2058" width="6.875" style="81" customWidth="1"/>
    <col min="2059" max="2065" width="7.125" style="81" customWidth="1"/>
    <col min="2066" max="2304" width="9" style="81"/>
    <col min="2305" max="2305" width="21.375" style="81" customWidth="1"/>
    <col min="2306" max="2306" width="6.375" style="81" customWidth="1"/>
    <col min="2307" max="2307" width="8.625" style="81" customWidth="1"/>
    <col min="2308" max="2314" width="6.875" style="81" customWidth="1"/>
    <col min="2315" max="2321" width="7.125" style="81" customWidth="1"/>
    <col min="2322" max="2560" width="9" style="81"/>
    <col min="2561" max="2561" width="21.375" style="81" customWidth="1"/>
    <col min="2562" max="2562" width="6.375" style="81" customWidth="1"/>
    <col min="2563" max="2563" width="8.625" style="81" customWidth="1"/>
    <col min="2564" max="2570" width="6.875" style="81" customWidth="1"/>
    <col min="2571" max="2577" width="7.125" style="81" customWidth="1"/>
    <col min="2578" max="2816" width="9" style="81"/>
    <col min="2817" max="2817" width="21.375" style="81" customWidth="1"/>
    <col min="2818" max="2818" width="6.375" style="81" customWidth="1"/>
    <col min="2819" max="2819" width="8.625" style="81" customWidth="1"/>
    <col min="2820" max="2826" width="6.875" style="81" customWidth="1"/>
    <col min="2827" max="2833" width="7.125" style="81" customWidth="1"/>
    <col min="2834" max="3072" width="9" style="81"/>
    <col min="3073" max="3073" width="21.375" style="81" customWidth="1"/>
    <col min="3074" max="3074" width="6.375" style="81" customWidth="1"/>
    <col min="3075" max="3075" width="8.625" style="81" customWidth="1"/>
    <col min="3076" max="3082" width="6.875" style="81" customWidth="1"/>
    <col min="3083" max="3089" width="7.125" style="81" customWidth="1"/>
    <col min="3090" max="3328" width="9" style="81"/>
    <col min="3329" max="3329" width="21.375" style="81" customWidth="1"/>
    <col min="3330" max="3330" width="6.375" style="81" customWidth="1"/>
    <col min="3331" max="3331" width="8.625" style="81" customWidth="1"/>
    <col min="3332" max="3338" width="6.875" style="81" customWidth="1"/>
    <col min="3339" max="3345" width="7.125" style="81" customWidth="1"/>
    <col min="3346" max="3584" width="9" style="81"/>
    <col min="3585" max="3585" width="21.375" style="81" customWidth="1"/>
    <col min="3586" max="3586" width="6.375" style="81" customWidth="1"/>
    <col min="3587" max="3587" width="8.625" style="81" customWidth="1"/>
    <col min="3588" max="3594" width="6.875" style="81" customWidth="1"/>
    <col min="3595" max="3601" width="7.125" style="81" customWidth="1"/>
    <col min="3602" max="3840" width="9" style="81"/>
    <col min="3841" max="3841" width="21.375" style="81" customWidth="1"/>
    <col min="3842" max="3842" width="6.375" style="81" customWidth="1"/>
    <col min="3843" max="3843" width="8.625" style="81" customWidth="1"/>
    <col min="3844" max="3850" width="6.875" style="81" customWidth="1"/>
    <col min="3851" max="3857" width="7.125" style="81" customWidth="1"/>
    <col min="3858" max="4096" width="9" style="81"/>
    <col min="4097" max="4097" width="21.375" style="81" customWidth="1"/>
    <col min="4098" max="4098" width="6.375" style="81" customWidth="1"/>
    <col min="4099" max="4099" width="8.625" style="81" customWidth="1"/>
    <col min="4100" max="4106" width="6.875" style="81" customWidth="1"/>
    <col min="4107" max="4113" width="7.125" style="81" customWidth="1"/>
    <col min="4114" max="4352" width="9" style="81"/>
    <col min="4353" max="4353" width="21.375" style="81" customWidth="1"/>
    <col min="4354" max="4354" width="6.375" style="81" customWidth="1"/>
    <col min="4355" max="4355" width="8.625" style="81" customWidth="1"/>
    <col min="4356" max="4362" width="6.875" style="81" customWidth="1"/>
    <col min="4363" max="4369" width="7.125" style="81" customWidth="1"/>
    <col min="4370" max="4608" width="9" style="81"/>
    <col min="4609" max="4609" width="21.375" style="81" customWidth="1"/>
    <col min="4610" max="4610" width="6.375" style="81" customWidth="1"/>
    <col min="4611" max="4611" width="8.625" style="81" customWidth="1"/>
    <col min="4612" max="4618" width="6.875" style="81" customWidth="1"/>
    <col min="4619" max="4625" width="7.125" style="81" customWidth="1"/>
    <col min="4626" max="4864" width="9" style="81"/>
    <col min="4865" max="4865" width="21.375" style="81" customWidth="1"/>
    <col min="4866" max="4866" width="6.375" style="81" customWidth="1"/>
    <col min="4867" max="4867" width="8.625" style="81" customWidth="1"/>
    <col min="4868" max="4874" width="6.875" style="81" customWidth="1"/>
    <col min="4875" max="4881" width="7.125" style="81" customWidth="1"/>
    <col min="4882" max="5120" width="9" style="81"/>
    <col min="5121" max="5121" width="21.375" style="81" customWidth="1"/>
    <col min="5122" max="5122" width="6.375" style="81" customWidth="1"/>
    <col min="5123" max="5123" width="8.625" style="81" customWidth="1"/>
    <col min="5124" max="5130" width="6.875" style="81" customWidth="1"/>
    <col min="5131" max="5137" width="7.125" style="81" customWidth="1"/>
    <col min="5138" max="5376" width="9" style="81"/>
    <col min="5377" max="5377" width="21.375" style="81" customWidth="1"/>
    <col min="5378" max="5378" width="6.375" style="81" customWidth="1"/>
    <col min="5379" max="5379" width="8.625" style="81" customWidth="1"/>
    <col min="5380" max="5386" width="6.875" style="81" customWidth="1"/>
    <col min="5387" max="5393" width="7.125" style="81" customWidth="1"/>
    <col min="5394" max="5632" width="9" style="81"/>
    <col min="5633" max="5633" width="21.375" style="81" customWidth="1"/>
    <col min="5634" max="5634" width="6.375" style="81" customWidth="1"/>
    <col min="5635" max="5635" width="8.625" style="81" customWidth="1"/>
    <col min="5636" max="5642" width="6.875" style="81" customWidth="1"/>
    <col min="5643" max="5649" width="7.125" style="81" customWidth="1"/>
    <col min="5650" max="5888" width="9" style="81"/>
    <col min="5889" max="5889" width="21.375" style="81" customWidth="1"/>
    <col min="5890" max="5890" width="6.375" style="81" customWidth="1"/>
    <col min="5891" max="5891" width="8.625" style="81" customWidth="1"/>
    <col min="5892" max="5898" width="6.875" style="81" customWidth="1"/>
    <col min="5899" max="5905" width="7.125" style="81" customWidth="1"/>
    <col min="5906" max="6144" width="9" style="81"/>
    <col min="6145" max="6145" width="21.375" style="81" customWidth="1"/>
    <col min="6146" max="6146" width="6.375" style="81" customWidth="1"/>
    <col min="6147" max="6147" width="8.625" style="81" customWidth="1"/>
    <col min="6148" max="6154" width="6.875" style="81" customWidth="1"/>
    <col min="6155" max="6161" width="7.125" style="81" customWidth="1"/>
    <col min="6162" max="6400" width="9" style="81"/>
    <col min="6401" max="6401" width="21.375" style="81" customWidth="1"/>
    <col min="6402" max="6402" width="6.375" style="81" customWidth="1"/>
    <col min="6403" max="6403" width="8.625" style="81" customWidth="1"/>
    <col min="6404" max="6410" width="6.875" style="81" customWidth="1"/>
    <col min="6411" max="6417" width="7.125" style="81" customWidth="1"/>
    <col min="6418" max="6656" width="9" style="81"/>
    <col min="6657" max="6657" width="21.375" style="81" customWidth="1"/>
    <col min="6658" max="6658" width="6.375" style="81" customWidth="1"/>
    <col min="6659" max="6659" width="8.625" style="81" customWidth="1"/>
    <col min="6660" max="6666" width="6.875" style="81" customWidth="1"/>
    <col min="6667" max="6673" width="7.125" style="81" customWidth="1"/>
    <col min="6674" max="6912" width="9" style="81"/>
    <col min="6913" max="6913" width="21.375" style="81" customWidth="1"/>
    <col min="6914" max="6914" width="6.375" style="81" customWidth="1"/>
    <col min="6915" max="6915" width="8.625" style="81" customWidth="1"/>
    <col min="6916" max="6922" width="6.875" style="81" customWidth="1"/>
    <col min="6923" max="6929" width="7.125" style="81" customWidth="1"/>
    <col min="6930" max="7168" width="9" style="81"/>
    <col min="7169" max="7169" width="21.375" style="81" customWidth="1"/>
    <col min="7170" max="7170" width="6.375" style="81" customWidth="1"/>
    <col min="7171" max="7171" width="8.625" style="81" customWidth="1"/>
    <col min="7172" max="7178" width="6.875" style="81" customWidth="1"/>
    <col min="7179" max="7185" width="7.125" style="81" customWidth="1"/>
    <col min="7186" max="7424" width="9" style="81"/>
    <col min="7425" max="7425" width="21.375" style="81" customWidth="1"/>
    <col min="7426" max="7426" width="6.375" style="81" customWidth="1"/>
    <col min="7427" max="7427" width="8.625" style="81" customWidth="1"/>
    <col min="7428" max="7434" width="6.875" style="81" customWidth="1"/>
    <col min="7435" max="7441" width="7.125" style="81" customWidth="1"/>
    <col min="7442" max="7680" width="9" style="81"/>
    <col min="7681" max="7681" width="21.375" style="81" customWidth="1"/>
    <col min="7682" max="7682" width="6.375" style="81" customWidth="1"/>
    <col min="7683" max="7683" width="8.625" style="81" customWidth="1"/>
    <col min="7684" max="7690" width="6.875" style="81" customWidth="1"/>
    <col min="7691" max="7697" width="7.125" style="81" customWidth="1"/>
    <col min="7698" max="7936" width="9" style="81"/>
    <col min="7937" max="7937" width="21.375" style="81" customWidth="1"/>
    <col min="7938" max="7938" width="6.375" style="81" customWidth="1"/>
    <col min="7939" max="7939" width="8.625" style="81" customWidth="1"/>
    <col min="7940" max="7946" width="6.875" style="81" customWidth="1"/>
    <col min="7947" max="7953" width="7.125" style="81" customWidth="1"/>
    <col min="7954" max="8192" width="9" style="81"/>
    <col min="8193" max="8193" width="21.375" style="81" customWidth="1"/>
    <col min="8194" max="8194" width="6.375" style="81" customWidth="1"/>
    <col min="8195" max="8195" width="8.625" style="81" customWidth="1"/>
    <col min="8196" max="8202" width="6.875" style="81" customWidth="1"/>
    <col min="8203" max="8209" width="7.125" style="81" customWidth="1"/>
    <col min="8210" max="8448" width="9" style="81"/>
    <col min="8449" max="8449" width="21.375" style="81" customWidth="1"/>
    <col min="8450" max="8450" width="6.375" style="81" customWidth="1"/>
    <col min="8451" max="8451" width="8.625" style="81" customWidth="1"/>
    <col min="8452" max="8458" width="6.875" style="81" customWidth="1"/>
    <col min="8459" max="8465" width="7.125" style="81" customWidth="1"/>
    <col min="8466" max="8704" width="9" style="81"/>
    <col min="8705" max="8705" width="21.375" style="81" customWidth="1"/>
    <col min="8706" max="8706" width="6.375" style="81" customWidth="1"/>
    <col min="8707" max="8707" width="8.625" style="81" customWidth="1"/>
    <col min="8708" max="8714" width="6.875" style="81" customWidth="1"/>
    <col min="8715" max="8721" width="7.125" style="81" customWidth="1"/>
    <col min="8722" max="8960" width="9" style="81"/>
    <col min="8961" max="8961" width="21.375" style="81" customWidth="1"/>
    <col min="8962" max="8962" width="6.375" style="81" customWidth="1"/>
    <col min="8963" max="8963" width="8.625" style="81" customWidth="1"/>
    <col min="8964" max="8970" width="6.875" style="81" customWidth="1"/>
    <col min="8971" max="8977" width="7.125" style="81" customWidth="1"/>
    <col min="8978" max="9216" width="9" style="81"/>
    <col min="9217" max="9217" width="21.375" style="81" customWidth="1"/>
    <col min="9218" max="9218" width="6.375" style="81" customWidth="1"/>
    <col min="9219" max="9219" width="8.625" style="81" customWidth="1"/>
    <col min="9220" max="9226" width="6.875" style="81" customWidth="1"/>
    <col min="9227" max="9233" width="7.125" style="81" customWidth="1"/>
    <col min="9234" max="9472" width="9" style="81"/>
    <col min="9473" max="9473" width="21.375" style="81" customWidth="1"/>
    <col min="9474" max="9474" width="6.375" style="81" customWidth="1"/>
    <col min="9475" max="9475" width="8.625" style="81" customWidth="1"/>
    <col min="9476" max="9482" width="6.875" style="81" customWidth="1"/>
    <col min="9483" max="9489" width="7.125" style="81" customWidth="1"/>
    <col min="9490" max="9728" width="9" style="81"/>
    <col min="9729" max="9729" width="21.375" style="81" customWidth="1"/>
    <col min="9730" max="9730" width="6.375" style="81" customWidth="1"/>
    <col min="9731" max="9731" width="8.625" style="81" customWidth="1"/>
    <col min="9732" max="9738" width="6.875" style="81" customWidth="1"/>
    <col min="9739" max="9745" width="7.125" style="81" customWidth="1"/>
    <col min="9746" max="9984" width="9" style="81"/>
    <col min="9985" max="9985" width="21.375" style="81" customWidth="1"/>
    <col min="9986" max="9986" width="6.375" style="81" customWidth="1"/>
    <col min="9987" max="9987" width="8.625" style="81" customWidth="1"/>
    <col min="9988" max="9994" width="6.875" style="81" customWidth="1"/>
    <col min="9995" max="10001" width="7.125" style="81" customWidth="1"/>
    <col min="10002" max="10240" width="9" style="81"/>
    <col min="10241" max="10241" width="21.375" style="81" customWidth="1"/>
    <col min="10242" max="10242" width="6.375" style="81" customWidth="1"/>
    <col min="10243" max="10243" width="8.625" style="81" customWidth="1"/>
    <col min="10244" max="10250" width="6.875" style="81" customWidth="1"/>
    <col min="10251" max="10257" width="7.125" style="81" customWidth="1"/>
    <col min="10258" max="10496" width="9" style="81"/>
    <col min="10497" max="10497" width="21.375" style="81" customWidth="1"/>
    <col min="10498" max="10498" width="6.375" style="81" customWidth="1"/>
    <col min="10499" max="10499" width="8.625" style="81" customWidth="1"/>
    <col min="10500" max="10506" width="6.875" style="81" customWidth="1"/>
    <col min="10507" max="10513" width="7.125" style="81" customWidth="1"/>
    <col min="10514" max="10752" width="9" style="81"/>
    <col min="10753" max="10753" width="21.375" style="81" customWidth="1"/>
    <col min="10754" max="10754" width="6.375" style="81" customWidth="1"/>
    <col min="10755" max="10755" width="8.625" style="81" customWidth="1"/>
    <col min="10756" max="10762" width="6.875" style="81" customWidth="1"/>
    <col min="10763" max="10769" width="7.125" style="81" customWidth="1"/>
    <col min="10770" max="11008" width="9" style="81"/>
    <col min="11009" max="11009" width="21.375" style="81" customWidth="1"/>
    <col min="11010" max="11010" width="6.375" style="81" customWidth="1"/>
    <col min="11011" max="11011" width="8.625" style="81" customWidth="1"/>
    <col min="11012" max="11018" width="6.875" style="81" customWidth="1"/>
    <col min="11019" max="11025" width="7.125" style="81" customWidth="1"/>
    <col min="11026" max="11264" width="9" style="81"/>
    <col min="11265" max="11265" width="21.375" style="81" customWidth="1"/>
    <col min="11266" max="11266" width="6.375" style="81" customWidth="1"/>
    <col min="11267" max="11267" width="8.625" style="81" customWidth="1"/>
    <col min="11268" max="11274" width="6.875" style="81" customWidth="1"/>
    <col min="11275" max="11281" width="7.125" style="81" customWidth="1"/>
    <col min="11282" max="11520" width="9" style="81"/>
    <col min="11521" max="11521" width="21.375" style="81" customWidth="1"/>
    <col min="11522" max="11522" width="6.375" style="81" customWidth="1"/>
    <col min="11523" max="11523" width="8.625" style="81" customWidth="1"/>
    <col min="11524" max="11530" width="6.875" style="81" customWidth="1"/>
    <col min="11531" max="11537" width="7.125" style="81" customWidth="1"/>
    <col min="11538" max="11776" width="9" style="81"/>
    <col min="11777" max="11777" width="21.375" style="81" customWidth="1"/>
    <col min="11778" max="11778" width="6.375" style="81" customWidth="1"/>
    <col min="11779" max="11779" width="8.625" style="81" customWidth="1"/>
    <col min="11780" max="11786" width="6.875" style="81" customWidth="1"/>
    <col min="11787" max="11793" width="7.125" style="81" customWidth="1"/>
    <col min="11794" max="12032" width="9" style="81"/>
    <col min="12033" max="12033" width="21.375" style="81" customWidth="1"/>
    <col min="12034" max="12034" width="6.375" style="81" customWidth="1"/>
    <col min="12035" max="12035" width="8.625" style="81" customWidth="1"/>
    <col min="12036" max="12042" width="6.875" style="81" customWidth="1"/>
    <col min="12043" max="12049" width="7.125" style="81" customWidth="1"/>
    <col min="12050" max="12288" width="9" style="81"/>
    <col min="12289" max="12289" width="21.375" style="81" customWidth="1"/>
    <col min="12290" max="12290" width="6.375" style="81" customWidth="1"/>
    <col min="12291" max="12291" width="8.625" style="81" customWidth="1"/>
    <col min="12292" max="12298" width="6.875" style="81" customWidth="1"/>
    <col min="12299" max="12305" width="7.125" style="81" customWidth="1"/>
    <col min="12306" max="12544" width="9" style="81"/>
    <col min="12545" max="12545" width="21.375" style="81" customWidth="1"/>
    <col min="12546" max="12546" width="6.375" style="81" customWidth="1"/>
    <col min="12547" max="12547" width="8.625" style="81" customWidth="1"/>
    <col min="12548" max="12554" width="6.875" style="81" customWidth="1"/>
    <col min="12555" max="12561" width="7.125" style="81" customWidth="1"/>
    <col min="12562" max="12800" width="9" style="81"/>
    <col min="12801" max="12801" width="21.375" style="81" customWidth="1"/>
    <col min="12802" max="12802" width="6.375" style="81" customWidth="1"/>
    <col min="12803" max="12803" width="8.625" style="81" customWidth="1"/>
    <col min="12804" max="12810" width="6.875" style="81" customWidth="1"/>
    <col min="12811" max="12817" width="7.125" style="81" customWidth="1"/>
    <col min="12818" max="13056" width="9" style="81"/>
    <col min="13057" max="13057" width="21.375" style="81" customWidth="1"/>
    <col min="13058" max="13058" width="6.375" style="81" customWidth="1"/>
    <col min="13059" max="13059" width="8.625" style="81" customWidth="1"/>
    <col min="13060" max="13066" width="6.875" style="81" customWidth="1"/>
    <col min="13067" max="13073" width="7.125" style="81" customWidth="1"/>
    <col min="13074" max="13312" width="9" style="81"/>
    <col min="13313" max="13313" width="21.375" style="81" customWidth="1"/>
    <col min="13314" max="13314" width="6.375" style="81" customWidth="1"/>
    <col min="13315" max="13315" width="8.625" style="81" customWidth="1"/>
    <col min="13316" max="13322" width="6.875" style="81" customWidth="1"/>
    <col min="13323" max="13329" width="7.125" style="81" customWidth="1"/>
    <col min="13330" max="13568" width="9" style="81"/>
    <col min="13569" max="13569" width="21.375" style="81" customWidth="1"/>
    <col min="13570" max="13570" width="6.375" style="81" customWidth="1"/>
    <col min="13571" max="13571" width="8.625" style="81" customWidth="1"/>
    <col min="13572" max="13578" width="6.875" style="81" customWidth="1"/>
    <col min="13579" max="13585" width="7.125" style="81" customWidth="1"/>
    <col min="13586" max="13824" width="9" style="81"/>
    <col min="13825" max="13825" width="21.375" style="81" customWidth="1"/>
    <col min="13826" max="13826" width="6.375" style="81" customWidth="1"/>
    <col min="13827" max="13827" width="8.625" style="81" customWidth="1"/>
    <col min="13828" max="13834" width="6.875" style="81" customWidth="1"/>
    <col min="13835" max="13841" width="7.125" style="81" customWidth="1"/>
    <col min="13842" max="14080" width="9" style="81"/>
    <col min="14081" max="14081" width="21.375" style="81" customWidth="1"/>
    <col min="14082" max="14082" width="6.375" style="81" customWidth="1"/>
    <col min="14083" max="14083" width="8.625" style="81" customWidth="1"/>
    <col min="14084" max="14090" width="6.875" style="81" customWidth="1"/>
    <col min="14091" max="14097" width="7.125" style="81" customWidth="1"/>
    <col min="14098" max="14336" width="9" style="81"/>
    <col min="14337" max="14337" width="21.375" style="81" customWidth="1"/>
    <col min="14338" max="14338" width="6.375" style="81" customWidth="1"/>
    <col min="14339" max="14339" width="8.625" style="81" customWidth="1"/>
    <col min="14340" max="14346" width="6.875" style="81" customWidth="1"/>
    <col min="14347" max="14353" width="7.125" style="81" customWidth="1"/>
    <col min="14354" max="14592" width="9" style="81"/>
    <col min="14593" max="14593" width="21.375" style="81" customWidth="1"/>
    <col min="14594" max="14594" width="6.375" style="81" customWidth="1"/>
    <col min="14595" max="14595" width="8.625" style="81" customWidth="1"/>
    <col min="14596" max="14602" width="6.875" style="81" customWidth="1"/>
    <col min="14603" max="14609" width="7.125" style="81" customWidth="1"/>
    <col min="14610" max="14848" width="9" style="81"/>
    <col min="14849" max="14849" width="21.375" style="81" customWidth="1"/>
    <col min="14850" max="14850" width="6.375" style="81" customWidth="1"/>
    <col min="14851" max="14851" width="8.625" style="81" customWidth="1"/>
    <col min="14852" max="14858" width="6.875" style="81" customWidth="1"/>
    <col min="14859" max="14865" width="7.125" style="81" customWidth="1"/>
    <col min="14866" max="15104" width="9" style="81"/>
    <col min="15105" max="15105" width="21.375" style="81" customWidth="1"/>
    <col min="15106" max="15106" width="6.375" style="81" customWidth="1"/>
    <col min="15107" max="15107" width="8.625" style="81" customWidth="1"/>
    <col min="15108" max="15114" width="6.875" style="81" customWidth="1"/>
    <col min="15115" max="15121" width="7.125" style="81" customWidth="1"/>
    <col min="15122" max="15360" width="9" style="81"/>
    <col min="15361" max="15361" width="21.375" style="81" customWidth="1"/>
    <col min="15362" max="15362" width="6.375" style="81" customWidth="1"/>
    <col min="15363" max="15363" width="8.625" style="81" customWidth="1"/>
    <col min="15364" max="15370" width="6.875" style="81" customWidth="1"/>
    <col min="15371" max="15377" width="7.125" style="81" customWidth="1"/>
    <col min="15378" max="15616" width="9" style="81"/>
    <col min="15617" max="15617" width="21.375" style="81" customWidth="1"/>
    <col min="15618" max="15618" width="6.375" style="81" customWidth="1"/>
    <col min="15619" max="15619" width="8.625" style="81" customWidth="1"/>
    <col min="15620" max="15626" width="6.875" style="81" customWidth="1"/>
    <col min="15627" max="15633" width="7.125" style="81" customWidth="1"/>
    <col min="15634" max="15872" width="9" style="81"/>
    <col min="15873" max="15873" width="21.375" style="81" customWidth="1"/>
    <col min="15874" max="15874" width="6.375" style="81" customWidth="1"/>
    <col min="15875" max="15875" width="8.625" style="81" customWidth="1"/>
    <col min="15876" max="15882" width="6.875" style="81" customWidth="1"/>
    <col min="15883" max="15889" width="7.125" style="81" customWidth="1"/>
    <col min="15890" max="16128" width="9" style="81"/>
    <col min="16129" max="16129" width="21.375" style="81" customWidth="1"/>
    <col min="16130" max="16130" width="6.375" style="81" customWidth="1"/>
    <col min="16131" max="16131" width="8.625" style="81" customWidth="1"/>
    <col min="16132" max="16138" width="6.875" style="81" customWidth="1"/>
    <col min="16139" max="16145" width="7.125" style="81" customWidth="1"/>
    <col min="16146" max="16384" width="9" style="81"/>
  </cols>
  <sheetData>
    <row r="1" spans="1:17" s="80" customFormat="1" ht="30" customHeight="1">
      <c r="A1" s="437" t="s">
        <v>740</v>
      </c>
      <c r="B1" s="437"/>
      <c r="C1" s="437"/>
      <c r="D1" s="437"/>
      <c r="E1" s="437"/>
      <c r="F1" s="437"/>
      <c r="G1" s="437"/>
      <c r="H1" s="437"/>
      <c r="I1" s="437"/>
      <c r="J1" s="437"/>
      <c r="K1" s="437"/>
      <c r="L1" s="437"/>
      <c r="M1" s="437"/>
      <c r="N1" s="437"/>
      <c r="O1" s="438"/>
      <c r="P1" s="438"/>
      <c r="Q1" s="438"/>
    </row>
    <row r="2" spans="1:17" ht="30" customHeight="1">
      <c r="A2" s="419"/>
      <c r="B2" s="419"/>
      <c r="C2" s="421" t="s">
        <v>741</v>
      </c>
      <c r="D2" s="421"/>
      <c r="E2" s="421"/>
      <c r="F2" s="421" t="s">
        <v>35</v>
      </c>
      <c r="G2" s="421"/>
      <c r="H2" s="421"/>
      <c r="I2" s="421" t="s">
        <v>36</v>
      </c>
      <c r="J2" s="421"/>
      <c r="K2" s="421"/>
      <c r="L2" s="421" t="s">
        <v>37</v>
      </c>
      <c r="M2" s="421"/>
      <c r="N2" s="421"/>
      <c r="O2" s="421" t="s">
        <v>567</v>
      </c>
      <c r="P2" s="421"/>
      <c r="Q2" s="421"/>
    </row>
    <row r="3" spans="1:17" ht="30" customHeight="1">
      <c r="A3" s="420"/>
      <c r="B3" s="420"/>
      <c r="C3" s="188" t="s">
        <v>742</v>
      </c>
      <c r="D3" s="188" t="s">
        <v>348</v>
      </c>
      <c r="E3" s="188" t="s">
        <v>349</v>
      </c>
      <c r="F3" s="188" t="s">
        <v>742</v>
      </c>
      <c r="G3" s="188" t="s">
        <v>743</v>
      </c>
      <c r="H3" s="188" t="s">
        <v>744</v>
      </c>
      <c r="I3" s="188" t="s">
        <v>347</v>
      </c>
      <c r="J3" s="188" t="s">
        <v>743</v>
      </c>
      <c r="K3" s="188" t="s">
        <v>723</v>
      </c>
      <c r="L3" s="190" t="s">
        <v>742</v>
      </c>
      <c r="M3" s="190" t="s">
        <v>348</v>
      </c>
      <c r="N3" s="190" t="s">
        <v>349</v>
      </c>
      <c r="O3" s="190" t="s">
        <v>692</v>
      </c>
      <c r="P3" s="190" t="s">
        <v>743</v>
      </c>
      <c r="Q3" s="190" t="s">
        <v>744</v>
      </c>
    </row>
    <row r="4" spans="1:17" s="89" customFormat="1" ht="44.45" customHeight="1">
      <c r="A4" s="420" t="s">
        <v>343</v>
      </c>
      <c r="B4" s="145" t="s">
        <v>361</v>
      </c>
      <c r="C4" s="137">
        <f t="shared" ref="C4:Q5" si="0">SUM(C6,C8,C10)</f>
        <v>778</v>
      </c>
      <c r="D4" s="137">
        <f t="shared" si="0"/>
        <v>680</v>
      </c>
      <c r="E4" s="137">
        <f t="shared" si="0"/>
        <v>98</v>
      </c>
      <c r="F4" s="137">
        <f t="shared" si="0"/>
        <v>739</v>
      </c>
      <c r="G4" s="137">
        <f t="shared" si="0"/>
        <v>619</v>
      </c>
      <c r="H4" s="137">
        <f t="shared" si="0"/>
        <v>120</v>
      </c>
      <c r="I4" s="137">
        <f t="shared" si="0"/>
        <v>589</v>
      </c>
      <c r="J4" s="137">
        <f t="shared" si="0"/>
        <v>505</v>
      </c>
      <c r="K4" s="137">
        <f t="shared" si="0"/>
        <v>84</v>
      </c>
      <c r="L4" s="137">
        <f t="shared" si="0"/>
        <v>415</v>
      </c>
      <c r="M4" s="137">
        <f t="shared" si="0"/>
        <v>354</v>
      </c>
      <c r="N4" s="137">
        <f t="shared" si="0"/>
        <v>61</v>
      </c>
      <c r="O4" s="137">
        <f t="shared" si="0"/>
        <v>424</v>
      </c>
      <c r="P4" s="137">
        <f t="shared" si="0"/>
        <v>377</v>
      </c>
      <c r="Q4" s="137">
        <f t="shared" si="0"/>
        <v>47</v>
      </c>
    </row>
    <row r="5" spans="1:17" s="90" customFormat="1" ht="44.45" customHeight="1">
      <c r="A5" s="420"/>
      <c r="B5" s="135" t="s">
        <v>362</v>
      </c>
      <c r="C5" s="139">
        <f t="shared" si="0"/>
        <v>100</v>
      </c>
      <c r="D5" s="139">
        <f t="shared" si="0"/>
        <v>100</v>
      </c>
      <c r="E5" s="139">
        <f t="shared" si="0"/>
        <v>100</v>
      </c>
      <c r="F5" s="139">
        <f t="shared" si="0"/>
        <v>100</v>
      </c>
      <c r="G5" s="139">
        <f t="shared" si="0"/>
        <v>100</v>
      </c>
      <c r="H5" s="139">
        <f t="shared" si="0"/>
        <v>100</v>
      </c>
      <c r="I5" s="139">
        <f t="shared" si="0"/>
        <v>100</v>
      </c>
      <c r="J5" s="139">
        <f t="shared" si="0"/>
        <v>100</v>
      </c>
      <c r="K5" s="139">
        <f t="shared" si="0"/>
        <v>100</v>
      </c>
      <c r="L5" s="139">
        <f t="shared" si="0"/>
        <v>100</v>
      </c>
      <c r="M5" s="139">
        <f t="shared" si="0"/>
        <v>100</v>
      </c>
      <c r="N5" s="139">
        <f t="shared" si="0"/>
        <v>100</v>
      </c>
      <c r="O5" s="139">
        <f t="shared" si="0"/>
        <v>100.00000000000001</v>
      </c>
      <c r="P5" s="139">
        <f t="shared" si="0"/>
        <v>100</v>
      </c>
      <c r="Q5" s="139">
        <f t="shared" si="0"/>
        <v>100</v>
      </c>
    </row>
    <row r="6" spans="1:17" s="89" customFormat="1" ht="44.45" customHeight="1">
      <c r="A6" s="440" t="s">
        <v>736</v>
      </c>
      <c r="B6" s="145" t="s">
        <v>361</v>
      </c>
      <c r="C6" s="137">
        <v>325</v>
      </c>
      <c r="D6" s="137">
        <v>227</v>
      </c>
      <c r="E6" s="137">
        <v>98</v>
      </c>
      <c r="F6" s="137">
        <v>328</v>
      </c>
      <c r="G6" s="137">
        <v>208</v>
      </c>
      <c r="H6" s="137">
        <v>120</v>
      </c>
      <c r="I6" s="137">
        <v>222</v>
      </c>
      <c r="J6" s="137">
        <v>138</v>
      </c>
      <c r="K6" s="137">
        <v>84</v>
      </c>
      <c r="L6" s="137">
        <v>158</v>
      </c>
      <c r="M6" s="137">
        <v>97</v>
      </c>
      <c r="N6" s="137">
        <v>61</v>
      </c>
      <c r="O6" s="137">
        <v>170</v>
      </c>
      <c r="P6" s="137">
        <v>123</v>
      </c>
      <c r="Q6" s="137">
        <v>47</v>
      </c>
    </row>
    <row r="7" spans="1:17" s="90" customFormat="1" ht="44.45" customHeight="1">
      <c r="A7" s="441"/>
      <c r="B7" s="135" t="s">
        <v>362</v>
      </c>
      <c r="C7" s="139">
        <f>IFERROR(C6/C$4*100,"-")</f>
        <v>41.773778920308487</v>
      </c>
      <c r="D7" s="139">
        <f t="shared" ref="D7:Q7" si="1">IFERROR(D6/D$4*100,"-")</f>
        <v>33.382352941176471</v>
      </c>
      <c r="E7" s="139">
        <f t="shared" si="1"/>
        <v>100</v>
      </c>
      <c r="F7" s="139">
        <f t="shared" si="1"/>
        <v>44.384303112313937</v>
      </c>
      <c r="G7" s="139">
        <f t="shared" si="1"/>
        <v>33.602584814216478</v>
      </c>
      <c r="H7" s="139">
        <f t="shared" si="1"/>
        <v>100</v>
      </c>
      <c r="I7" s="139">
        <f t="shared" si="1"/>
        <v>37.691001697792871</v>
      </c>
      <c r="J7" s="139">
        <f t="shared" si="1"/>
        <v>27.32673267326733</v>
      </c>
      <c r="K7" s="139">
        <f t="shared" si="1"/>
        <v>100</v>
      </c>
      <c r="L7" s="139">
        <f t="shared" si="1"/>
        <v>38.072289156626503</v>
      </c>
      <c r="M7" s="139">
        <f t="shared" si="1"/>
        <v>27.401129943502823</v>
      </c>
      <c r="N7" s="139">
        <f t="shared" si="1"/>
        <v>100</v>
      </c>
      <c r="O7" s="139">
        <f t="shared" si="1"/>
        <v>40.094339622641513</v>
      </c>
      <c r="P7" s="139">
        <f t="shared" si="1"/>
        <v>32.625994694960212</v>
      </c>
      <c r="Q7" s="139">
        <f t="shared" si="1"/>
        <v>100</v>
      </c>
    </row>
    <row r="8" spans="1:17" s="89" customFormat="1" ht="44.45" customHeight="1">
      <c r="A8" s="440" t="s">
        <v>738</v>
      </c>
      <c r="B8" s="145" t="s">
        <v>361</v>
      </c>
      <c r="C8" s="137">
        <v>144</v>
      </c>
      <c r="D8" s="137">
        <v>144</v>
      </c>
      <c r="E8" s="137" t="s">
        <v>9</v>
      </c>
      <c r="F8" s="137">
        <v>150</v>
      </c>
      <c r="G8" s="137">
        <v>150</v>
      </c>
      <c r="H8" s="137" t="s">
        <v>9</v>
      </c>
      <c r="I8" s="137">
        <v>131</v>
      </c>
      <c r="J8" s="137">
        <v>131</v>
      </c>
      <c r="K8" s="137" t="s">
        <v>9</v>
      </c>
      <c r="L8" s="137">
        <v>120</v>
      </c>
      <c r="M8" s="137">
        <v>120</v>
      </c>
      <c r="N8" s="137" t="s">
        <v>9</v>
      </c>
      <c r="O8" s="137">
        <v>139</v>
      </c>
      <c r="P8" s="137">
        <v>139</v>
      </c>
      <c r="Q8" s="137" t="s">
        <v>9</v>
      </c>
    </row>
    <row r="9" spans="1:17" s="90" customFormat="1" ht="44.45" customHeight="1">
      <c r="A9" s="441"/>
      <c r="B9" s="135" t="s">
        <v>362</v>
      </c>
      <c r="C9" s="139">
        <f>IFERROR(C8/C$4*100,"-")</f>
        <v>18.508997429305911</v>
      </c>
      <c r="D9" s="139">
        <f t="shared" ref="D9:Q9" si="2">IFERROR(D8/D$4*100,"-")</f>
        <v>21.176470588235293</v>
      </c>
      <c r="E9" s="139" t="str">
        <f t="shared" si="2"/>
        <v>-</v>
      </c>
      <c r="F9" s="139">
        <f t="shared" si="2"/>
        <v>20.297699594046009</v>
      </c>
      <c r="G9" s="139">
        <f t="shared" si="2"/>
        <v>24.232633279483036</v>
      </c>
      <c r="H9" s="139" t="str">
        <f t="shared" si="2"/>
        <v>-</v>
      </c>
      <c r="I9" s="139">
        <f t="shared" si="2"/>
        <v>22.241086587436332</v>
      </c>
      <c r="J9" s="139">
        <f t="shared" si="2"/>
        <v>25.940594059405942</v>
      </c>
      <c r="K9" s="139" t="str">
        <f t="shared" si="2"/>
        <v>-</v>
      </c>
      <c r="L9" s="139">
        <f t="shared" si="2"/>
        <v>28.915662650602407</v>
      </c>
      <c r="M9" s="139">
        <f t="shared" si="2"/>
        <v>33.898305084745758</v>
      </c>
      <c r="N9" s="139" t="str">
        <f t="shared" si="2"/>
        <v>-</v>
      </c>
      <c r="O9" s="139">
        <f t="shared" si="2"/>
        <v>32.783018867924532</v>
      </c>
      <c r="P9" s="139">
        <f t="shared" si="2"/>
        <v>36.870026525198938</v>
      </c>
      <c r="Q9" s="139" t="str">
        <f t="shared" si="2"/>
        <v>-</v>
      </c>
    </row>
    <row r="10" spans="1:17" s="89" customFormat="1" ht="44.45" customHeight="1">
      <c r="A10" s="440" t="s">
        <v>737</v>
      </c>
      <c r="B10" s="145" t="s">
        <v>361</v>
      </c>
      <c r="C10" s="137">
        <v>309</v>
      </c>
      <c r="D10" s="137">
        <v>309</v>
      </c>
      <c r="E10" s="137" t="s">
        <v>9</v>
      </c>
      <c r="F10" s="137">
        <v>261</v>
      </c>
      <c r="G10" s="137">
        <v>261</v>
      </c>
      <c r="H10" s="137" t="s">
        <v>9</v>
      </c>
      <c r="I10" s="137">
        <v>236</v>
      </c>
      <c r="J10" s="137">
        <v>236</v>
      </c>
      <c r="K10" s="137" t="s">
        <v>9</v>
      </c>
      <c r="L10" s="137">
        <v>137</v>
      </c>
      <c r="M10" s="137">
        <v>137</v>
      </c>
      <c r="N10" s="137" t="s">
        <v>9</v>
      </c>
      <c r="O10" s="137">
        <v>115</v>
      </c>
      <c r="P10" s="137">
        <v>115</v>
      </c>
      <c r="Q10" s="137" t="s">
        <v>9</v>
      </c>
    </row>
    <row r="11" spans="1:17" s="90" customFormat="1" ht="44.45" customHeight="1">
      <c r="A11" s="442"/>
      <c r="B11" s="136" t="s">
        <v>362</v>
      </c>
      <c r="C11" s="140">
        <f>IFERROR(C10/C$4*100,"-")</f>
        <v>39.717223650385606</v>
      </c>
      <c r="D11" s="140">
        <f t="shared" ref="D11:Q11" si="3">IFERROR(D10/D$4*100,"-")</f>
        <v>45.441176470588232</v>
      </c>
      <c r="E11" s="140" t="str">
        <f t="shared" si="3"/>
        <v>-</v>
      </c>
      <c r="F11" s="140">
        <f t="shared" si="3"/>
        <v>35.317997293640055</v>
      </c>
      <c r="G11" s="140">
        <f t="shared" si="3"/>
        <v>42.164781906300483</v>
      </c>
      <c r="H11" s="140" t="str">
        <f t="shared" si="3"/>
        <v>-</v>
      </c>
      <c r="I11" s="140">
        <f t="shared" si="3"/>
        <v>40.067911714770801</v>
      </c>
      <c r="J11" s="140">
        <f t="shared" si="3"/>
        <v>46.732673267326739</v>
      </c>
      <c r="K11" s="140" t="str">
        <f t="shared" si="3"/>
        <v>-</v>
      </c>
      <c r="L11" s="140">
        <f t="shared" si="3"/>
        <v>33.012048192771083</v>
      </c>
      <c r="M11" s="140">
        <f t="shared" si="3"/>
        <v>38.700564971751412</v>
      </c>
      <c r="N11" s="140" t="str">
        <f t="shared" si="3"/>
        <v>-</v>
      </c>
      <c r="O11" s="140">
        <f t="shared" si="3"/>
        <v>27.122641509433965</v>
      </c>
      <c r="P11" s="140">
        <f t="shared" si="3"/>
        <v>30.50397877984085</v>
      </c>
      <c r="Q11" s="140" t="str">
        <f t="shared" si="3"/>
        <v>-</v>
      </c>
    </row>
    <row r="12" spans="1:17" s="82" customFormat="1" ht="12.75">
      <c r="A12" s="443" t="s">
        <v>433</v>
      </c>
      <c r="B12" s="443"/>
      <c r="C12" s="443"/>
      <c r="D12" s="443"/>
      <c r="E12" s="443"/>
      <c r="F12" s="443"/>
      <c r="G12" s="443"/>
      <c r="H12" s="443"/>
      <c r="I12" s="443"/>
      <c r="J12" s="443"/>
      <c r="K12" s="443"/>
    </row>
    <row r="13" spans="1:17" s="82" customFormat="1" ht="45" customHeight="1">
      <c r="A13" s="439" t="s">
        <v>745</v>
      </c>
      <c r="B13" s="439"/>
      <c r="C13" s="439"/>
      <c r="D13" s="439"/>
      <c r="E13" s="439"/>
      <c r="F13" s="439"/>
      <c r="G13" s="439"/>
      <c r="H13" s="439"/>
      <c r="I13" s="439"/>
      <c r="J13" s="439"/>
      <c r="K13" s="439"/>
      <c r="L13" s="439"/>
      <c r="M13" s="439"/>
      <c r="N13" s="439"/>
      <c r="O13" s="439"/>
      <c r="P13" s="439"/>
      <c r="Q13" s="439"/>
    </row>
    <row r="15" spans="1:17">
      <c r="L15" s="96"/>
      <c r="O15" s="96"/>
    </row>
    <row r="16" spans="1:17">
      <c r="L16" s="96"/>
      <c r="O16" s="96"/>
    </row>
  </sheetData>
  <mergeCells count="13">
    <mergeCell ref="A13:Q13"/>
    <mergeCell ref="A1:Q1"/>
    <mergeCell ref="A2:B3"/>
    <mergeCell ref="C2:E2"/>
    <mergeCell ref="F2:H2"/>
    <mergeCell ref="I2:K2"/>
    <mergeCell ref="L2:N2"/>
    <mergeCell ref="O2:Q2"/>
    <mergeCell ref="A4:A5"/>
    <mergeCell ref="A6:A7"/>
    <mergeCell ref="A8:A9"/>
    <mergeCell ref="A10:A11"/>
    <mergeCell ref="A12:K1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3"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24"/>
  <sheetViews>
    <sheetView showGridLines="0" zoomScale="70" zoomScaleNormal="70" workbookViewId="0">
      <pane xSplit="2" ySplit="2" topLeftCell="C3" activePane="bottomRight" state="frozen"/>
      <selection activeCell="F17" sqref="F17"/>
      <selection pane="topRight" activeCell="F17" sqref="F17"/>
      <selection pane="bottomLeft" activeCell="F17" sqref="F17"/>
      <selection pane="bottomRight" activeCell="F17" sqref="F17"/>
    </sheetView>
  </sheetViews>
  <sheetFormatPr defaultColWidth="8.875" defaultRowHeight="15.75"/>
  <cols>
    <col min="1" max="1" width="21.125" style="233" customWidth="1"/>
    <col min="2" max="2" width="6.375" style="233" customWidth="1"/>
    <col min="3" max="17" width="8.625" style="233" customWidth="1"/>
    <col min="18" max="256" width="9" style="233"/>
    <col min="257" max="257" width="21.125" style="233" customWidth="1"/>
    <col min="258" max="258" width="6.375" style="233" customWidth="1"/>
    <col min="259" max="273" width="7.375" style="233" customWidth="1"/>
    <col min="274" max="512" width="9" style="233"/>
    <col min="513" max="513" width="21.125" style="233" customWidth="1"/>
    <col min="514" max="514" width="6.375" style="233" customWidth="1"/>
    <col min="515" max="529" width="7.375" style="233" customWidth="1"/>
    <col min="530" max="768" width="9" style="233"/>
    <col min="769" max="769" width="21.125" style="233" customWidth="1"/>
    <col min="770" max="770" width="6.375" style="233" customWidth="1"/>
    <col min="771" max="785" width="7.375" style="233" customWidth="1"/>
    <col min="786" max="1024" width="9" style="233"/>
    <col min="1025" max="1025" width="21.125" style="233" customWidth="1"/>
    <col min="1026" max="1026" width="6.375" style="233" customWidth="1"/>
    <col min="1027" max="1041" width="7.375" style="233" customWidth="1"/>
    <col min="1042" max="1280" width="9" style="233"/>
    <col min="1281" max="1281" width="21.125" style="233" customWidth="1"/>
    <col min="1282" max="1282" width="6.375" style="233" customWidth="1"/>
    <col min="1283" max="1297" width="7.375" style="233" customWidth="1"/>
    <col min="1298" max="1536" width="9" style="233"/>
    <col min="1537" max="1537" width="21.125" style="233" customWidth="1"/>
    <col min="1538" max="1538" width="6.375" style="233" customWidth="1"/>
    <col min="1539" max="1553" width="7.375" style="233" customWidth="1"/>
    <col min="1554" max="1792" width="9" style="233"/>
    <col min="1793" max="1793" width="21.125" style="233" customWidth="1"/>
    <col min="1794" max="1794" width="6.375" style="233" customWidth="1"/>
    <col min="1795" max="1809" width="7.375" style="233" customWidth="1"/>
    <col min="1810" max="2048" width="9" style="233"/>
    <col min="2049" max="2049" width="21.125" style="233" customWidth="1"/>
    <col min="2050" max="2050" width="6.375" style="233" customWidth="1"/>
    <col min="2051" max="2065" width="7.375" style="233" customWidth="1"/>
    <col min="2066" max="2304" width="9" style="233"/>
    <col min="2305" max="2305" width="21.125" style="233" customWidth="1"/>
    <col min="2306" max="2306" width="6.375" style="233" customWidth="1"/>
    <col min="2307" max="2321" width="7.375" style="233" customWidth="1"/>
    <col min="2322" max="2560" width="9" style="233"/>
    <col min="2561" max="2561" width="21.125" style="233" customWidth="1"/>
    <col min="2562" max="2562" width="6.375" style="233" customWidth="1"/>
    <col min="2563" max="2577" width="7.375" style="233" customWidth="1"/>
    <col min="2578" max="2816" width="9" style="233"/>
    <col min="2817" max="2817" width="21.125" style="233" customWidth="1"/>
    <col min="2818" max="2818" width="6.375" style="233" customWidth="1"/>
    <col min="2819" max="2833" width="7.375" style="233" customWidth="1"/>
    <col min="2834" max="3072" width="9" style="233"/>
    <col min="3073" max="3073" width="21.125" style="233" customWidth="1"/>
    <col min="3074" max="3074" width="6.375" style="233" customWidth="1"/>
    <col min="3075" max="3089" width="7.375" style="233" customWidth="1"/>
    <col min="3090" max="3328" width="9" style="233"/>
    <col min="3329" max="3329" width="21.125" style="233" customWidth="1"/>
    <col min="3330" max="3330" width="6.375" style="233" customWidth="1"/>
    <col min="3331" max="3345" width="7.375" style="233" customWidth="1"/>
    <col min="3346" max="3584" width="9" style="233"/>
    <col min="3585" max="3585" width="21.125" style="233" customWidth="1"/>
    <col min="3586" max="3586" width="6.375" style="233" customWidth="1"/>
    <col min="3587" max="3601" width="7.375" style="233" customWidth="1"/>
    <col min="3602" max="3840" width="9" style="233"/>
    <col min="3841" max="3841" width="21.125" style="233" customWidth="1"/>
    <col min="3842" max="3842" width="6.375" style="233" customWidth="1"/>
    <col min="3843" max="3857" width="7.375" style="233" customWidth="1"/>
    <col min="3858" max="4096" width="9" style="233"/>
    <col min="4097" max="4097" width="21.125" style="233" customWidth="1"/>
    <col min="4098" max="4098" width="6.375" style="233" customWidth="1"/>
    <col min="4099" max="4113" width="7.375" style="233" customWidth="1"/>
    <col min="4114" max="4352" width="9" style="233"/>
    <col min="4353" max="4353" width="21.125" style="233" customWidth="1"/>
    <col min="4354" max="4354" width="6.375" style="233" customWidth="1"/>
    <col min="4355" max="4369" width="7.375" style="233" customWidth="1"/>
    <col min="4370" max="4608" width="9" style="233"/>
    <col min="4609" max="4609" width="21.125" style="233" customWidth="1"/>
    <col min="4610" max="4610" width="6.375" style="233" customWidth="1"/>
    <col min="4611" max="4625" width="7.375" style="233" customWidth="1"/>
    <col min="4626" max="4864" width="9" style="233"/>
    <col min="4865" max="4865" width="21.125" style="233" customWidth="1"/>
    <col min="4866" max="4866" width="6.375" style="233" customWidth="1"/>
    <col min="4867" max="4881" width="7.375" style="233" customWidth="1"/>
    <col min="4882" max="5120" width="9" style="233"/>
    <col min="5121" max="5121" width="21.125" style="233" customWidth="1"/>
    <col min="5122" max="5122" width="6.375" style="233" customWidth="1"/>
    <col min="5123" max="5137" width="7.375" style="233" customWidth="1"/>
    <col min="5138" max="5376" width="9" style="233"/>
    <col min="5377" max="5377" width="21.125" style="233" customWidth="1"/>
    <col min="5378" max="5378" width="6.375" style="233" customWidth="1"/>
    <col min="5379" max="5393" width="7.375" style="233" customWidth="1"/>
    <col min="5394" max="5632" width="9" style="233"/>
    <col min="5633" max="5633" width="21.125" style="233" customWidth="1"/>
    <col min="5634" max="5634" width="6.375" style="233" customWidth="1"/>
    <col min="5635" max="5649" width="7.375" style="233" customWidth="1"/>
    <col min="5650" max="5888" width="9" style="233"/>
    <col min="5889" max="5889" width="21.125" style="233" customWidth="1"/>
    <col min="5890" max="5890" width="6.375" style="233" customWidth="1"/>
    <col min="5891" max="5905" width="7.375" style="233" customWidth="1"/>
    <col min="5906" max="6144" width="9" style="233"/>
    <col min="6145" max="6145" width="21.125" style="233" customWidth="1"/>
    <col min="6146" max="6146" width="6.375" style="233" customWidth="1"/>
    <col min="6147" max="6161" width="7.375" style="233" customWidth="1"/>
    <col min="6162" max="6400" width="9" style="233"/>
    <col min="6401" max="6401" width="21.125" style="233" customWidth="1"/>
    <col min="6402" max="6402" width="6.375" style="233" customWidth="1"/>
    <col min="6403" max="6417" width="7.375" style="233" customWidth="1"/>
    <col min="6418" max="6656" width="9" style="233"/>
    <col min="6657" max="6657" width="21.125" style="233" customWidth="1"/>
    <col min="6658" max="6658" width="6.375" style="233" customWidth="1"/>
    <col min="6659" max="6673" width="7.375" style="233" customWidth="1"/>
    <col min="6674" max="6912" width="9" style="233"/>
    <col min="6913" max="6913" width="21.125" style="233" customWidth="1"/>
    <col min="6914" max="6914" width="6.375" style="233" customWidth="1"/>
    <col min="6915" max="6929" width="7.375" style="233" customWidth="1"/>
    <col min="6930" max="7168" width="9" style="233"/>
    <col min="7169" max="7169" width="21.125" style="233" customWidth="1"/>
    <col min="7170" max="7170" width="6.375" style="233" customWidth="1"/>
    <col min="7171" max="7185" width="7.375" style="233" customWidth="1"/>
    <col min="7186" max="7424" width="9" style="233"/>
    <col min="7425" max="7425" width="21.125" style="233" customWidth="1"/>
    <col min="7426" max="7426" width="6.375" style="233" customWidth="1"/>
    <col min="7427" max="7441" width="7.375" style="233" customWidth="1"/>
    <col min="7442" max="7680" width="9" style="233"/>
    <col min="7681" max="7681" width="21.125" style="233" customWidth="1"/>
    <col min="7682" max="7682" width="6.375" style="233" customWidth="1"/>
    <col min="7683" max="7697" width="7.375" style="233" customWidth="1"/>
    <col min="7698" max="7936" width="9" style="233"/>
    <col min="7937" max="7937" width="21.125" style="233" customWidth="1"/>
    <col min="7938" max="7938" width="6.375" style="233" customWidth="1"/>
    <col min="7939" max="7953" width="7.375" style="233" customWidth="1"/>
    <col min="7954" max="8192" width="9" style="233"/>
    <col min="8193" max="8193" width="21.125" style="233" customWidth="1"/>
    <col min="8194" max="8194" width="6.375" style="233" customWidth="1"/>
    <col min="8195" max="8209" width="7.375" style="233" customWidth="1"/>
    <col min="8210" max="8448" width="9" style="233"/>
    <col min="8449" max="8449" width="21.125" style="233" customWidth="1"/>
    <col min="8450" max="8450" width="6.375" style="233" customWidth="1"/>
    <col min="8451" max="8465" width="7.375" style="233" customWidth="1"/>
    <col min="8466" max="8704" width="9" style="233"/>
    <col min="8705" max="8705" width="21.125" style="233" customWidth="1"/>
    <col min="8706" max="8706" width="6.375" style="233" customWidth="1"/>
    <col min="8707" max="8721" width="7.375" style="233" customWidth="1"/>
    <col min="8722" max="8960" width="9" style="233"/>
    <col min="8961" max="8961" width="21.125" style="233" customWidth="1"/>
    <col min="8962" max="8962" width="6.375" style="233" customWidth="1"/>
    <col min="8963" max="8977" width="7.375" style="233" customWidth="1"/>
    <col min="8978" max="9216" width="9" style="233"/>
    <col min="9217" max="9217" width="21.125" style="233" customWidth="1"/>
    <col min="9218" max="9218" width="6.375" style="233" customWidth="1"/>
    <col min="9219" max="9233" width="7.375" style="233" customWidth="1"/>
    <col min="9234" max="9472" width="9" style="233"/>
    <col min="9473" max="9473" width="21.125" style="233" customWidth="1"/>
    <col min="9474" max="9474" width="6.375" style="233" customWidth="1"/>
    <col min="9475" max="9489" width="7.375" style="233" customWidth="1"/>
    <col min="9490" max="9728" width="9" style="233"/>
    <col min="9729" max="9729" width="21.125" style="233" customWidth="1"/>
    <col min="9730" max="9730" width="6.375" style="233" customWidth="1"/>
    <col min="9731" max="9745" width="7.375" style="233" customWidth="1"/>
    <col min="9746" max="9984" width="9" style="233"/>
    <col min="9985" max="9985" width="21.125" style="233" customWidth="1"/>
    <col min="9986" max="9986" width="6.375" style="233" customWidth="1"/>
    <col min="9987" max="10001" width="7.375" style="233" customWidth="1"/>
    <col min="10002" max="10240" width="9" style="233"/>
    <col min="10241" max="10241" width="21.125" style="233" customWidth="1"/>
    <col min="10242" max="10242" width="6.375" style="233" customWidth="1"/>
    <col min="10243" max="10257" width="7.375" style="233" customWidth="1"/>
    <col min="10258" max="10496" width="9" style="233"/>
    <col min="10497" max="10497" width="21.125" style="233" customWidth="1"/>
    <col min="10498" max="10498" width="6.375" style="233" customWidth="1"/>
    <col min="10499" max="10513" width="7.375" style="233" customWidth="1"/>
    <col min="10514" max="10752" width="9" style="233"/>
    <col min="10753" max="10753" width="21.125" style="233" customWidth="1"/>
    <col min="10754" max="10754" width="6.375" style="233" customWidth="1"/>
    <col min="10755" max="10769" width="7.375" style="233" customWidth="1"/>
    <col min="10770" max="11008" width="9" style="233"/>
    <col min="11009" max="11009" width="21.125" style="233" customWidth="1"/>
    <col min="11010" max="11010" width="6.375" style="233" customWidth="1"/>
    <col min="11011" max="11025" width="7.375" style="233" customWidth="1"/>
    <col min="11026" max="11264" width="9" style="233"/>
    <col min="11265" max="11265" width="21.125" style="233" customWidth="1"/>
    <col min="11266" max="11266" width="6.375" style="233" customWidth="1"/>
    <col min="11267" max="11281" width="7.375" style="233" customWidth="1"/>
    <col min="11282" max="11520" width="9" style="233"/>
    <col min="11521" max="11521" width="21.125" style="233" customWidth="1"/>
    <col min="11522" max="11522" width="6.375" style="233" customWidth="1"/>
    <col min="11523" max="11537" width="7.375" style="233" customWidth="1"/>
    <col min="11538" max="11776" width="9" style="233"/>
    <col min="11777" max="11777" width="21.125" style="233" customWidth="1"/>
    <col min="11778" max="11778" width="6.375" style="233" customWidth="1"/>
    <col min="11779" max="11793" width="7.375" style="233" customWidth="1"/>
    <col min="11794" max="12032" width="9" style="233"/>
    <col min="12033" max="12033" width="21.125" style="233" customWidth="1"/>
    <col min="12034" max="12034" width="6.375" style="233" customWidth="1"/>
    <col min="12035" max="12049" width="7.375" style="233" customWidth="1"/>
    <col min="12050" max="12288" width="9" style="233"/>
    <col min="12289" max="12289" width="21.125" style="233" customWidth="1"/>
    <col min="12290" max="12290" width="6.375" style="233" customWidth="1"/>
    <col min="12291" max="12305" width="7.375" style="233" customWidth="1"/>
    <col min="12306" max="12544" width="9" style="233"/>
    <col min="12545" max="12545" width="21.125" style="233" customWidth="1"/>
    <col min="12546" max="12546" width="6.375" style="233" customWidth="1"/>
    <col min="12547" max="12561" width="7.375" style="233" customWidth="1"/>
    <col min="12562" max="12800" width="9" style="233"/>
    <col min="12801" max="12801" width="21.125" style="233" customWidth="1"/>
    <col min="12802" max="12802" width="6.375" style="233" customWidth="1"/>
    <col min="12803" max="12817" width="7.375" style="233" customWidth="1"/>
    <col min="12818" max="13056" width="9" style="233"/>
    <col min="13057" max="13057" width="21.125" style="233" customWidth="1"/>
    <col min="13058" max="13058" width="6.375" style="233" customWidth="1"/>
    <col min="13059" max="13073" width="7.375" style="233" customWidth="1"/>
    <col min="13074" max="13312" width="9" style="233"/>
    <col min="13313" max="13313" width="21.125" style="233" customWidth="1"/>
    <col min="13314" max="13314" width="6.375" style="233" customWidth="1"/>
    <col min="13315" max="13329" width="7.375" style="233" customWidth="1"/>
    <col min="13330" max="13568" width="9" style="233"/>
    <col min="13569" max="13569" width="21.125" style="233" customWidth="1"/>
    <col min="13570" max="13570" width="6.375" style="233" customWidth="1"/>
    <col min="13571" max="13585" width="7.375" style="233" customWidth="1"/>
    <col min="13586" max="13824" width="9" style="233"/>
    <col min="13825" max="13825" width="21.125" style="233" customWidth="1"/>
    <col min="13826" max="13826" width="6.375" style="233" customWidth="1"/>
    <col min="13827" max="13841" width="7.375" style="233" customWidth="1"/>
    <col min="13842" max="14080" width="9" style="233"/>
    <col min="14081" max="14081" width="21.125" style="233" customWidth="1"/>
    <col min="14082" max="14082" width="6.375" style="233" customWidth="1"/>
    <col min="14083" max="14097" width="7.375" style="233" customWidth="1"/>
    <col min="14098" max="14336" width="9" style="233"/>
    <col min="14337" max="14337" width="21.125" style="233" customWidth="1"/>
    <col min="14338" max="14338" width="6.375" style="233" customWidth="1"/>
    <col min="14339" max="14353" width="7.375" style="233" customWidth="1"/>
    <col min="14354" max="14592" width="9" style="233"/>
    <col min="14593" max="14593" width="21.125" style="233" customWidth="1"/>
    <col min="14594" max="14594" width="6.375" style="233" customWidth="1"/>
    <col min="14595" max="14609" width="7.375" style="233" customWidth="1"/>
    <col min="14610" max="14848" width="9" style="233"/>
    <col min="14849" max="14849" width="21.125" style="233" customWidth="1"/>
    <col min="14850" max="14850" width="6.375" style="233" customWidth="1"/>
    <col min="14851" max="14865" width="7.375" style="233" customWidth="1"/>
    <col min="14866" max="15104" width="9" style="233"/>
    <col min="15105" max="15105" width="21.125" style="233" customWidth="1"/>
    <col min="15106" max="15106" width="6.375" style="233" customWidth="1"/>
    <col min="15107" max="15121" width="7.375" style="233" customWidth="1"/>
    <col min="15122" max="15360" width="9" style="233"/>
    <col min="15361" max="15361" width="21.125" style="233" customWidth="1"/>
    <col min="15362" max="15362" width="6.375" style="233" customWidth="1"/>
    <col min="15363" max="15377" width="7.375" style="233" customWidth="1"/>
    <col min="15378" max="15616" width="9" style="233"/>
    <col min="15617" max="15617" width="21.125" style="233" customWidth="1"/>
    <col min="15618" max="15618" width="6.375" style="233" customWidth="1"/>
    <col min="15619" max="15633" width="7.375" style="233" customWidth="1"/>
    <col min="15634" max="15872" width="9" style="233"/>
    <col min="15873" max="15873" width="21.125" style="233" customWidth="1"/>
    <col min="15874" max="15874" width="6.375" style="233" customWidth="1"/>
    <col min="15875" max="15889" width="7.375" style="233" customWidth="1"/>
    <col min="15890" max="16128" width="9" style="233"/>
    <col min="16129" max="16129" width="21.125" style="233" customWidth="1"/>
    <col min="16130" max="16130" width="6.375" style="233" customWidth="1"/>
    <col min="16131" max="16145" width="7.375" style="233" customWidth="1"/>
    <col min="16146" max="16384" width="9" style="233"/>
  </cols>
  <sheetData>
    <row r="1" spans="1:17" s="237" customFormat="1" ht="30" customHeight="1">
      <c r="A1" s="449" t="s">
        <v>663</v>
      </c>
      <c r="B1" s="449"/>
      <c r="C1" s="449"/>
      <c r="D1" s="449"/>
      <c r="E1" s="449"/>
      <c r="F1" s="449"/>
      <c r="G1" s="449"/>
      <c r="H1" s="449"/>
      <c r="I1" s="449"/>
      <c r="J1" s="449"/>
      <c r="K1" s="449"/>
      <c r="L1" s="449"/>
      <c r="M1" s="449"/>
      <c r="N1" s="449"/>
      <c r="O1" s="450"/>
      <c r="P1" s="450"/>
      <c r="Q1" s="450"/>
    </row>
    <row r="2" spans="1:17" ht="30" customHeight="1">
      <c r="A2" s="451"/>
      <c r="B2" s="451"/>
      <c r="C2" s="452" t="s">
        <v>680</v>
      </c>
      <c r="D2" s="452"/>
      <c r="E2" s="452"/>
      <c r="F2" s="452" t="s">
        <v>35</v>
      </c>
      <c r="G2" s="452"/>
      <c r="H2" s="452"/>
      <c r="I2" s="452" t="s">
        <v>36</v>
      </c>
      <c r="J2" s="452"/>
      <c r="K2" s="452"/>
      <c r="L2" s="452" t="s">
        <v>37</v>
      </c>
      <c r="M2" s="452"/>
      <c r="N2" s="452"/>
      <c r="O2" s="452" t="s">
        <v>567</v>
      </c>
      <c r="P2" s="452"/>
      <c r="Q2" s="452"/>
    </row>
    <row r="3" spans="1:17" ht="30" customHeight="1">
      <c r="A3" s="444"/>
      <c r="B3" s="444"/>
      <c r="C3" s="232" t="s">
        <v>347</v>
      </c>
      <c r="D3" s="238" t="s">
        <v>348</v>
      </c>
      <c r="E3" s="238" t="s">
        <v>349</v>
      </c>
      <c r="F3" s="232" t="s">
        <v>347</v>
      </c>
      <c r="G3" s="238" t="s">
        <v>348</v>
      </c>
      <c r="H3" s="238" t="s">
        <v>349</v>
      </c>
      <c r="I3" s="232" t="s">
        <v>347</v>
      </c>
      <c r="J3" s="238" t="s">
        <v>348</v>
      </c>
      <c r="K3" s="238" t="s">
        <v>746</v>
      </c>
      <c r="L3" s="232" t="s">
        <v>747</v>
      </c>
      <c r="M3" s="238" t="s">
        <v>724</v>
      </c>
      <c r="N3" s="238" t="s">
        <v>693</v>
      </c>
      <c r="O3" s="232" t="s">
        <v>747</v>
      </c>
      <c r="P3" s="238" t="s">
        <v>724</v>
      </c>
      <c r="Q3" s="238" t="s">
        <v>693</v>
      </c>
    </row>
    <row r="4" spans="1:17" s="240" customFormat="1" ht="22.35" customHeight="1">
      <c r="A4" s="444" t="s">
        <v>343</v>
      </c>
      <c r="B4" s="239" t="s">
        <v>702</v>
      </c>
      <c r="C4" s="235">
        <f t="shared" ref="C4:Q5" si="0">SUM(C6,C8,C10,C12,C14,C16,C18,C20)</f>
        <v>738</v>
      </c>
      <c r="D4" s="235">
        <f t="shared" si="0"/>
        <v>636</v>
      </c>
      <c r="E4" s="235">
        <f t="shared" si="0"/>
        <v>102</v>
      </c>
      <c r="F4" s="235">
        <f t="shared" si="0"/>
        <v>475</v>
      </c>
      <c r="G4" s="235">
        <f t="shared" si="0"/>
        <v>420</v>
      </c>
      <c r="H4" s="235">
        <f t="shared" si="0"/>
        <v>55</v>
      </c>
      <c r="I4" s="235">
        <f t="shared" si="0"/>
        <v>473</v>
      </c>
      <c r="J4" s="235">
        <f t="shared" si="0"/>
        <v>402</v>
      </c>
      <c r="K4" s="235">
        <f t="shared" si="0"/>
        <v>71</v>
      </c>
      <c r="L4" s="235">
        <f t="shared" si="0"/>
        <v>475</v>
      </c>
      <c r="M4" s="235">
        <f t="shared" si="0"/>
        <v>430</v>
      </c>
      <c r="N4" s="236">
        <f t="shared" si="0"/>
        <v>45</v>
      </c>
      <c r="O4" s="235">
        <f t="shared" si="0"/>
        <v>362</v>
      </c>
      <c r="P4" s="235">
        <f t="shared" si="0"/>
        <v>331</v>
      </c>
      <c r="Q4" s="236">
        <f t="shared" si="0"/>
        <v>31</v>
      </c>
    </row>
    <row r="5" spans="1:17" s="243" customFormat="1" ht="22.35" customHeight="1">
      <c r="A5" s="444"/>
      <c r="B5" s="241" t="s">
        <v>351</v>
      </c>
      <c r="C5" s="242">
        <f t="shared" si="0"/>
        <v>100</v>
      </c>
      <c r="D5" s="242">
        <f t="shared" si="0"/>
        <v>100</v>
      </c>
      <c r="E5" s="242">
        <f t="shared" si="0"/>
        <v>100</v>
      </c>
      <c r="F5" s="242">
        <f t="shared" si="0"/>
        <v>100</v>
      </c>
      <c r="G5" s="242">
        <f t="shared" si="0"/>
        <v>100</v>
      </c>
      <c r="H5" s="242">
        <f t="shared" si="0"/>
        <v>100</v>
      </c>
      <c r="I5" s="242">
        <f t="shared" si="0"/>
        <v>100</v>
      </c>
      <c r="J5" s="242">
        <f t="shared" si="0"/>
        <v>100</v>
      </c>
      <c r="K5" s="242">
        <f t="shared" si="0"/>
        <v>100</v>
      </c>
      <c r="L5" s="242">
        <f t="shared" si="0"/>
        <v>100</v>
      </c>
      <c r="M5" s="242">
        <f t="shared" si="0"/>
        <v>100</v>
      </c>
      <c r="N5" s="242">
        <f t="shared" si="0"/>
        <v>99.999999999999986</v>
      </c>
      <c r="O5" s="242">
        <f t="shared" si="0"/>
        <v>100</v>
      </c>
      <c r="P5" s="242">
        <f t="shared" si="0"/>
        <v>100</v>
      </c>
      <c r="Q5" s="242">
        <f t="shared" si="0"/>
        <v>100</v>
      </c>
    </row>
    <row r="6" spans="1:17" s="240" customFormat="1" ht="22.35" customHeight="1">
      <c r="A6" s="444" t="s">
        <v>748</v>
      </c>
      <c r="B6" s="239" t="s">
        <v>749</v>
      </c>
      <c r="C6" s="235" t="s">
        <v>9</v>
      </c>
      <c r="D6" s="235" t="s">
        <v>9</v>
      </c>
      <c r="E6" s="235" t="s">
        <v>9</v>
      </c>
      <c r="F6" s="235" t="s">
        <v>9</v>
      </c>
      <c r="G6" s="235" t="s">
        <v>9</v>
      </c>
      <c r="H6" s="235" t="s">
        <v>9</v>
      </c>
      <c r="I6" s="235" t="s">
        <v>9</v>
      </c>
      <c r="J6" s="235" t="s">
        <v>9</v>
      </c>
      <c r="K6" s="235" t="s">
        <v>9</v>
      </c>
      <c r="L6" s="235" t="s">
        <v>9</v>
      </c>
      <c r="M6" s="235" t="s">
        <v>9</v>
      </c>
      <c r="N6" s="235" t="s">
        <v>9</v>
      </c>
      <c r="O6" s="235" t="s">
        <v>9</v>
      </c>
      <c r="P6" s="235" t="s">
        <v>9</v>
      </c>
      <c r="Q6" s="235" t="s">
        <v>9</v>
      </c>
    </row>
    <row r="7" spans="1:17" s="243" customFormat="1" ht="22.35" customHeight="1">
      <c r="A7" s="444"/>
      <c r="B7" s="241" t="s">
        <v>351</v>
      </c>
      <c r="C7" s="242" t="str">
        <f>IFERROR(C6/C$4*100,"-")</f>
        <v>-</v>
      </c>
      <c r="D7" s="242" t="str">
        <f t="shared" ref="D7:Q7" si="1">IFERROR(D6/D$4*100,"-")</f>
        <v>-</v>
      </c>
      <c r="E7" s="242" t="str">
        <f t="shared" si="1"/>
        <v>-</v>
      </c>
      <c r="F7" s="242" t="str">
        <f t="shared" si="1"/>
        <v>-</v>
      </c>
      <c r="G7" s="242" t="str">
        <f t="shared" si="1"/>
        <v>-</v>
      </c>
      <c r="H7" s="242" t="str">
        <f t="shared" si="1"/>
        <v>-</v>
      </c>
      <c r="I7" s="242" t="str">
        <f t="shared" si="1"/>
        <v>-</v>
      </c>
      <c r="J7" s="242" t="str">
        <f t="shared" si="1"/>
        <v>-</v>
      </c>
      <c r="K7" s="242" t="str">
        <f t="shared" si="1"/>
        <v>-</v>
      </c>
      <c r="L7" s="242" t="str">
        <f t="shared" si="1"/>
        <v>-</v>
      </c>
      <c r="M7" s="242" t="str">
        <f t="shared" si="1"/>
        <v>-</v>
      </c>
      <c r="N7" s="242" t="str">
        <f t="shared" si="1"/>
        <v>-</v>
      </c>
      <c r="O7" s="242" t="str">
        <f t="shared" si="1"/>
        <v>-</v>
      </c>
      <c r="P7" s="242" t="str">
        <f t="shared" si="1"/>
        <v>-</v>
      </c>
      <c r="Q7" s="242" t="str">
        <f t="shared" si="1"/>
        <v>-</v>
      </c>
    </row>
    <row r="8" spans="1:17" s="240" customFormat="1" ht="22.35" customHeight="1">
      <c r="A8" s="444" t="s">
        <v>750</v>
      </c>
      <c r="B8" s="239" t="s">
        <v>749</v>
      </c>
      <c r="C8" s="235">
        <v>2</v>
      </c>
      <c r="D8" s="235">
        <v>2</v>
      </c>
      <c r="E8" s="235" t="s">
        <v>9</v>
      </c>
      <c r="F8" s="235" t="s">
        <v>9</v>
      </c>
      <c r="G8" s="235" t="s">
        <v>9</v>
      </c>
      <c r="H8" s="235" t="s">
        <v>9</v>
      </c>
      <c r="I8" s="235" t="s">
        <v>9</v>
      </c>
      <c r="J8" s="235" t="s">
        <v>9</v>
      </c>
      <c r="K8" s="235" t="s">
        <v>9</v>
      </c>
      <c r="L8" s="235" t="s">
        <v>9</v>
      </c>
      <c r="M8" s="235" t="s">
        <v>9</v>
      </c>
      <c r="N8" s="235" t="s">
        <v>9</v>
      </c>
      <c r="O8" s="235" t="s">
        <v>9</v>
      </c>
      <c r="P8" s="235" t="s">
        <v>9</v>
      </c>
      <c r="Q8" s="235" t="s">
        <v>9</v>
      </c>
    </row>
    <row r="9" spans="1:17" s="243" customFormat="1" ht="22.35" customHeight="1">
      <c r="A9" s="444"/>
      <c r="B9" s="241" t="s">
        <v>351</v>
      </c>
      <c r="C9" s="242">
        <f>IFERROR(C8/C$4*100,"-")</f>
        <v>0.27100271002710025</v>
      </c>
      <c r="D9" s="242">
        <f t="shared" ref="D9:Q9" si="2">IFERROR(D8/D$4*100,"-")</f>
        <v>0.31446540880503149</v>
      </c>
      <c r="E9" s="242" t="str">
        <f t="shared" si="2"/>
        <v>-</v>
      </c>
      <c r="F9" s="242" t="str">
        <f t="shared" si="2"/>
        <v>-</v>
      </c>
      <c r="G9" s="242" t="str">
        <f t="shared" si="2"/>
        <v>-</v>
      </c>
      <c r="H9" s="242" t="str">
        <f t="shared" si="2"/>
        <v>-</v>
      </c>
      <c r="I9" s="242" t="str">
        <f t="shared" si="2"/>
        <v>-</v>
      </c>
      <c r="J9" s="242" t="str">
        <f t="shared" si="2"/>
        <v>-</v>
      </c>
      <c r="K9" s="242" t="str">
        <f t="shared" si="2"/>
        <v>-</v>
      </c>
      <c r="L9" s="242" t="str">
        <f t="shared" si="2"/>
        <v>-</v>
      </c>
      <c r="M9" s="242" t="str">
        <f t="shared" si="2"/>
        <v>-</v>
      </c>
      <c r="N9" s="242" t="str">
        <f t="shared" si="2"/>
        <v>-</v>
      </c>
      <c r="O9" s="242" t="str">
        <f t="shared" si="2"/>
        <v>-</v>
      </c>
      <c r="P9" s="242" t="str">
        <f t="shared" si="2"/>
        <v>-</v>
      </c>
      <c r="Q9" s="242" t="str">
        <f t="shared" si="2"/>
        <v>-</v>
      </c>
    </row>
    <row r="10" spans="1:17" s="240" customFormat="1" ht="22.35" customHeight="1">
      <c r="A10" s="444" t="s">
        <v>436</v>
      </c>
      <c r="B10" s="239" t="s">
        <v>350</v>
      </c>
      <c r="C10" s="235">
        <v>8</v>
      </c>
      <c r="D10" s="235">
        <v>7</v>
      </c>
      <c r="E10" s="235">
        <v>1</v>
      </c>
      <c r="F10" s="235">
        <v>3</v>
      </c>
      <c r="G10" s="235">
        <v>3</v>
      </c>
      <c r="H10" s="235" t="s">
        <v>9</v>
      </c>
      <c r="I10" s="235">
        <v>1</v>
      </c>
      <c r="J10" s="235">
        <v>1</v>
      </c>
      <c r="K10" s="235" t="s">
        <v>9</v>
      </c>
      <c r="L10" s="235">
        <v>1</v>
      </c>
      <c r="M10" s="235">
        <v>1</v>
      </c>
      <c r="N10" s="235" t="s">
        <v>9</v>
      </c>
      <c r="O10" s="235">
        <v>3</v>
      </c>
      <c r="P10" s="235">
        <v>2</v>
      </c>
      <c r="Q10" s="235">
        <v>1</v>
      </c>
    </row>
    <row r="11" spans="1:17" s="243" customFormat="1" ht="22.35" customHeight="1">
      <c r="A11" s="444"/>
      <c r="B11" s="241" t="s">
        <v>351</v>
      </c>
      <c r="C11" s="242">
        <f>IFERROR(C10/C$4*100,"-")</f>
        <v>1.084010840108401</v>
      </c>
      <c r="D11" s="242">
        <f t="shared" ref="D11:Q11" si="3">IFERROR(D10/D$4*100,"-")</f>
        <v>1.10062893081761</v>
      </c>
      <c r="E11" s="242">
        <f t="shared" si="3"/>
        <v>0.98039215686274506</v>
      </c>
      <c r="F11" s="242">
        <f t="shared" si="3"/>
        <v>0.63157894736842102</v>
      </c>
      <c r="G11" s="242">
        <f t="shared" si="3"/>
        <v>0.7142857142857143</v>
      </c>
      <c r="H11" s="242" t="str">
        <f t="shared" si="3"/>
        <v>-</v>
      </c>
      <c r="I11" s="242">
        <f t="shared" si="3"/>
        <v>0.21141649048625794</v>
      </c>
      <c r="J11" s="242">
        <f t="shared" si="3"/>
        <v>0.24875621890547264</v>
      </c>
      <c r="K11" s="242" t="str">
        <f t="shared" si="3"/>
        <v>-</v>
      </c>
      <c r="L11" s="242">
        <f t="shared" si="3"/>
        <v>0.21052631578947367</v>
      </c>
      <c r="M11" s="242">
        <f t="shared" si="3"/>
        <v>0.23255813953488372</v>
      </c>
      <c r="N11" s="242" t="str">
        <f t="shared" si="3"/>
        <v>-</v>
      </c>
      <c r="O11" s="242">
        <f t="shared" si="3"/>
        <v>0.82872928176795579</v>
      </c>
      <c r="P11" s="242">
        <f t="shared" si="3"/>
        <v>0.60422960725075525</v>
      </c>
      <c r="Q11" s="242">
        <f t="shared" si="3"/>
        <v>3.225806451612903</v>
      </c>
    </row>
    <row r="12" spans="1:17" s="240" customFormat="1" ht="22.35" customHeight="1">
      <c r="A12" s="444" t="s">
        <v>751</v>
      </c>
      <c r="B12" s="239" t="s">
        <v>749</v>
      </c>
      <c r="C12" s="235">
        <v>28</v>
      </c>
      <c r="D12" s="235">
        <v>22</v>
      </c>
      <c r="E12" s="235">
        <v>6</v>
      </c>
      <c r="F12" s="235">
        <v>16</v>
      </c>
      <c r="G12" s="235">
        <v>15</v>
      </c>
      <c r="H12" s="235">
        <v>1</v>
      </c>
      <c r="I12" s="235">
        <v>16</v>
      </c>
      <c r="J12" s="235">
        <v>14</v>
      </c>
      <c r="K12" s="235">
        <v>2</v>
      </c>
      <c r="L12" s="235">
        <v>16</v>
      </c>
      <c r="M12" s="235">
        <v>15</v>
      </c>
      <c r="N12" s="235">
        <v>1</v>
      </c>
      <c r="O12" s="235">
        <v>11</v>
      </c>
      <c r="P12" s="235">
        <v>9</v>
      </c>
      <c r="Q12" s="235">
        <v>2</v>
      </c>
    </row>
    <row r="13" spans="1:17" s="243" customFormat="1" ht="22.35" customHeight="1">
      <c r="A13" s="444"/>
      <c r="B13" s="241" t="s">
        <v>351</v>
      </c>
      <c r="C13" s="242">
        <f>IFERROR(C12/C$4*100,"-")</f>
        <v>3.7940379403794036</v>
      </c>
      <c r="D13" s="242">
        <f t="shared" ref="D13:Q13" si="4">IFERROR(D12/D$4*100,"-")</f>
        <v>3.459119496855346</v>
      </c>
      <c r="E13" s="242">
        <f t="shared" si="4"/>
        <v>5.8823529411764701</v>
      </c>
      <c r="F13" s="242">
        <f t="shared" si="4"/>
        <v>3.3684210526315788</v>
      </c>
      <c r="G13" s="242">
        <f t="shared" si="4"/>
        <v>3.5714285714285712</v>
      </c>
      <c r="H13" s="242">
        <f t="shared" si="4"/>
        <v>1.8181818181818181</v>
      </c>
      <c r="I13" s="242">
        <f t="shared" si="4"/>
        <v>3.382663847780127</v>
      </c>
      <c r="J13" s="242">
        <f t="shared" si="4"/>
        <v>3.4825870646766171</v>
      </c>
      <c r="K13" s="242">
        <f t="shared" si="4"/>
        <v>2.8169014084507045</v>
      </c>
      <c r="L13" s="242">
        <f t="shared" si="4"/>
        <v>3.3684210526315788</v>
      </c>
      <c r="M13" s="242">
        <f t="shared" si="4"/>
        <v>3.4883720930232558</v>
      </c>
      <c r="N13" s="242">
        <f t="shared" si="4"/>
        <v>2.2222222222222223</v>
      </c>
      <c r="O13" s="242">
        <f t="shared" si="4"/>
        <v>3.0386740331491713</v>
      </c>
      <c r="P13" s="242">
        <f t="shared" si="4"/>
        <v>2.7190332326283988</v>
      </c>
      <c r="Q13" s="242">
        <f t="shared" si="4"/>
        <v>6.4516129032258061</v>
      </c>
    </row>
    <row r="14" spans="1:17" s="240" customFormat="1" ht="22.35" customHeight="1">
      <c r="A14" s="444" t="s">
        <v>752</v>
      </c>
      <c r="B14" s="239" t="s">
        <v>749</v>
      </c>
      <c r="C14" s="235">
        <v>63</v>
      </c>
      <c r="D14" s="235">
        <v>45</v>
      </c>
      <c r="E14" s="235">
        <v>18</v>
      </c>
      <c r="F14" s="235">
        <v>32</v>
      </c>
      <c r="G14" s="235">
        <v>25</v>
      </c>
      <c r="H14" s="235">
        <v>7</v>
      </c>
      <c r="I14" s="235">
        <v>41</v>
      </c>
      <c r="J14" s="235">
        <v>28</v>
      </c>
      <c r="K14" s="235">
        <v>13</v>
      </c>
      <c r="L14" s="235">
        <v>63</v>
      </c>
      <c r="M14" s="235">
        <v>55</v>
      </c>
      <c r="N14" s="235">
        <v>8</v>
      </c>
      <c r="O14" s="235">
        <v>40</v>
      </c>
      <c r="P14" s="235">
        <v>33</v>
      </c>
      <c r="Q14" s="235">
        <v>7</v>
      </c>
    </row>
    <row r="15" spans="1:17" s="243" customFormat="1" ht="22.35" customHeight="1">
      <c r="A15" s="444"/>
      <c r="B15" s="241" t="s">
        <v>351</v>
      </c>
      <c r="C15" s="242">
        <f>IFERROR(C14/C$4*100,"-")</f>
        <v>8.536585365853659</v>
      </c>
      <c r="D15" s="242">
        <f t="shared" ref="D15:Q15" si="5">IFERROR(D14/D$4*100,"-")</f>
        <v>7.0754716981132075</v>
      </c>
      <c r="E15" s="242">
        <f t="shared" si="5"/>
        <v>17.647058823529413</v>
      </c>
      <c r="F15" s="242">
        <f t="shared" si="5"/>
        <v>6.7368421052631575</v>
      </c>
      <c r="G15" s="242">
        <f t="shared" si="5"/>
        <v>5.9523809523809517</v>
      </c>
      <c r="H15" s="242">
        <f t="shared" si="5"/>
        <v>12.727272727272727</v>
      </c>
      <c r="I15" s="242">
        <f t="shared" si="5"/>
        <v>8.6680761099365746</v>
      </c>
      <c r="J15" s="242">
        <f t="shared" si="5"/>
        <v>6.9651741293532341</v>
      </c>
      <c r="K15" s="242">
        <f t="shared" si="5"/>
        <v>18.30985915492958</v>
      </c>
      <c r="L15" s="242">
        <f t="shared" si="5"/>
        <v>13.263157894736842</v>
      </c>
      <c r="M15" s="242">
        <f t="shared" si="5"/>
        <v>12.790697674418606</v>
      </c>
      <c r="N15" s="242">
        <f t="shared" si="5"/>
        <v>17.777777777777779</v>
      </c>
      <c r="O15" s="242">
        <f t="shared" si="5"/>
        <v>11.049723756906078</v>
      </c>
      <c r="P15" s="242">
        <f t="shared" si="5"/>
        <v>9.9697885196374632</v>
      </c>
      <c r="Q15" s="242">
        <f t="shared" si="5"/>
        <v>22.58064516129032</v>
      </c>
    </row>
    <row r="16" spans="1:17" s="240" customFormat="1" ht="22.35" customHeight="1">
      <c r="A16" s="444" t="s">
        <v>437</v>
      </c>
      <c r="B16" s="239" t="s">
        <v>749</v>
      </c>
      <c r="C16" s="235">
        <v>114</v>
      </c>
      <c r="D16" s="235">
        <v>100</v>
      </c>
      <c r="E16" s="235">
        <v>14</v>
      </c>
      <c r="F16" s="235">
        <v>71</v>
      </c>
      <c r="G16" s="235">
        <v>62</v>
      </c>
      <c r="H16" s="235">
        <v>9</v>
      </c>
      <c r="I16" s="235">
        <v>62</v>
      </c>
      <c r="J16" s="235">
        <v>52</v>
      </c>
      <c r="K16" s="235">
        <v>10</v>
      </c>
      <c r="L16" s="235">
        <v>90</v>
      </c>
      <c r="M16" s="235">
        <v>75</v>
      </c>
      <c r="N16" s="235">
        <v>15</v>
      </c>
      <c r="O16" s="235">
        <v>59</v>
      </c>
      <c r="P16" s="235">
        <v>52</v>
      </c>
      <c r="Q16" s="235">
        <v>7</v>
      </c>
    </row>
    <row r="17" spans="1:17" s="243" customFormat="1" ht="22.35" customHeight="1">
      <c r="A17" s="444"/>
      <c r="B17" s="241" t="s">
        <v>351</v>
      </c>
      <c r="C17" s="242">
        <f>IFERROR(C16/C$4*100,"-")</f>
        <v>15.447154471544716</v>
      </c>
      <c r="D17" s="242">
        <f t="shared" ref="D17:Q17" si="6">IFERROR(D16/D$4*100,"-")</f>
        <v>15.723270440251572</v>
      </c>
      <c r="E17" s="242">
        <f t="shared" si="6"/>
        <v>13.725490196078432</v>
      </c>
      <c r="F17" s="242">
        <f t="shared" si="6"/>
        <v>14.947368421052632</v>
      </c>
      <c r="G17" s="242">
        <f t="shared" si="6"/>
        <v>14.761904761904763</v>
      </c>
      <c r="H17" s="242">
        <f t="shared" si="6"/>
        <v>16.363636363636363</v>
      </c>
      <c r="I17" s="242">
        <f t="shared" si="6"/>
        <v>13.107822410147993</v>
      </c>
      <c r="J17" s="242">
        <f t="shared" si="6"/>
        <v>12.935323383084576</v>
      </c>
      <c r="K17" s="242">
        <f t="shared" si="6"/>
        <v>14.084507042253522</v>
      </c>
      <c r="L17" s="242">
        <f t="shared" si="6"/>
        <v>18.947368421052634</v>
      </c>
      <c r="M17" s="242">
        <f t="shared" si="6"/>
        <v>17.441860465116278</v>
      </c>
      <c r="N17" s="242">
        <f t="shared" si="6"/>
        <v>33.333333333333329</v>
      </c>
      <c r="O17" s="242">
        <f t="shared" si="6"/>
        <v>16.298342541436465</v>
      </c>
      <c r="P17" s="242">
        <f t="shared" si="6"/>
        <v>15.709969788519636</v>
      </c>
      <c r="Q17" s="242">
        <f t="shared" si="6"/>
        <v>22.58064516129032</v>
      </c>
    </row>
    <row r="18" spans="1:17" s="240" customFormat="1" ht="22.35" customHeight="1">
      <c r="A18" s="444" t="s">
        <v>753</v>
      </c>
      <c r="B18" s="239" t="s">
        <v>350</v>
      </c>
      <c r="C18" s="235">
        <v>160</v>
      </c>
      <c r="D18" s="235">
        <v>141</v>
      </c>
      <c r="E18" s="235">
        <v>19</v>
      </c>
      <c r="F18" s="235">
        <v>99</v>
      </c>
      <c r="G18" s="235">
        <v>87</v>
      </c>
      <c r="H18" s="235">
        <v>12</v>
      </c>
      <c r="I18" s="235">
        <v>92</v>
      </c>
      <c r="J18" s="235">
        <v>78</v>
      </c>
      <c r="K18" s="235">
        <v>14</v>
      </c>
      <c r="L18" s="235">
        <v>121</v>
      </c>
      <c r="M18" s="235">
        <v>115</v>
      </c>
      <c r="N18" s="235">
        <v>6</v>
      </c>
      <c r="O18" s="235">
        <v>95</v>
      </c>
      <c r="P18" s="235">
        <v>91</v>
      </c>
      <c r="Q18" s="235">
        <v>4</v>
      </c>
    </row>
    <row r="19" spans="1:17" s="243" customFormat="1" ht="22.35" customHeight="1">
      <c r="A19" s="444"/>
      <c r="B19" s="241" t="s">
        <v>351</v>
      </c>
      <c r="C19" s="242">
        <f>IFERROR(C18/C$4*100,"-")</f>
        <v>21.680216802168022</v>
      </c>
      <c r="D19" s="242">
        <f t="shared" ref="D19:Q19" si="7">IFERROR(D18/D$4*100,"-")</f>
        <v>22.169811320754718</v>
      </c>
      <c r="E19" s="242">
        <f t="shared" si="7"/>
        <v>18.627450980392158</v>
      </c>
      <c r="F19" s="242">
        <f t="shared" si="7"/>
        <v>20.842105263157894</v>
      </c>
      <c r="G19" s="242">
        <f t="shared" si="7"/>
        <v>20.714285714285715</v>
      </c>
      <c r="H19" s="242">
        <f t="shared" si="7"/>
        <v>21.818181818181817</v>
      </c>
      <c r="I19" s="242">
        <f t="shared" si="7"/>
        <v>19.450317124735729</v>
      </c>
      <c r="J19" s="242">
        <f t="shared" si="7"/>
        <v>19.402985074626866</v>
      </c>
      <c r="K19" s="242">
        <f t="shared" si="7"/>
        <v>19.718309859154928</v>
      </c>
      <c r="L19" s="242">
        <f t="shared" si="7"/>
        <v>25.473684210526315</v>
      </c>
      <c r="M19" s="242">
        <f t="shared" si="7"/>
        <v>26.744186046511626</v>
      </c>
      <c r="N19" s="242">
        <f t="shared" si="7"/>
        <v>13.333333333333334</v>
      </c>
      <c r="O19" s="242">
        <f t="shared" si="7"/>
        <v>26.243093922651934</v>
      </c>
      <c r="P19" s="242">
        <f t="shared" si="7"/>
        <v>27.492447129909365</v>
      </c>
      <c r="Q19" s="242">
        <f t="shared" si="7"/>
        <v>12.903225806451612</v>
      </c>
    </row>
    <row r="20" spans="1:17" s="240" customFormat="1" ht="22.35" customHeight="1">
      <c r="A20" s="444" t="s">
        <v>353</v>
      </c>
      <c r="B20" s="239" t="s">
        <v>749</v>
      </c>
      <c r="C20" s="235">
        <v>363</v>
      </c>
      <c r="D20" s="235">
        <v>319</v>
      </c>
      <c r="E20" s="235">
        <v>44</v>
      </c>
      <c r="F20" s="235">
        <v>254</v>
      </c>
      <c r="G20" s="235">
        <v>228</v>
      </c>
      <c r="H20" s="235">
        <v>26</v>
      </c>
      <c r="I20" s="235">
        <v>261</v>
      </c>
      <c r="J20" s="235">
        <v>229</v>
      </c>
      <c r="K20" s="235">
        <v>32</v>
      </c>
      <c r="L20" s="235">
        <v>184</v>
      </c>
      <c r="M20" s="235">
        <v>169</v>
      </c>
      <c r="N20" s="235">
        <v>15</v>
      </c>
      <c r="O20" s="235">
        <v>154</v>
      </c>
      <c r="P20" s="235">
        <v>144</v>
      </c>
      <c r="Q20" s="235">
        <v>10</v>
      </c>
    </row>
    <row r="21" spans="1:17" s="243" customFormat="1" ht="22.35" customHeight="1">
      <c r="A21" s="447"/>
      <c r="B21" s="244" t="s">
        <v>351</v>
      </c>
      <c r="C21" s="245">
        <f>IFERROR(C20/C$4*100,"-")</f>
        <v>49.1869918699187</v>
      </c>
      <c r="D21" s="245">
        <f t="shared" ref="D21:Q21" si="8">IFERROR(D20/D$4*100,"-")</f>
        <v>50.157232704402524</v>
      </c>
      <c r="E21" s="245">
        <f t="shared" si="8"/>
        <v>43.137254901960787</v>
      </c>
      <c r="F21" s="245">
        <f t="shared" si="8"/>
        <v>53.473684210526315</v>
      </c>
      <c r="G21" s="245">
        <f t="shared" si="8"/>
        <v>54.285714285714285</v>
      </c>
      <c r="H21" s="245">
        <f t="shared" si="8"/>
        <v>47.272727272727273</v>
      </c>
      <c r="I21" s="245">
        <f t="shared" si="8"/>
        <v>55.17970401691332</v>
      </c>
      <c r="J21" s="245">
        <f t="shared" si="8"/>
        <v>56.965174129353237</v>
      </c>
      <c r="K21" s="245">
        <f t="shared" si="8"/>
        <v>45.070422535211272</v>
      </c>
      <c r="L21" s="245">
        <f t="shared" si="8"/>
        <v>38.736842105263158</v>
      </c>
      <c r="M21" s="245">
        <f t="shared" si="8"/>
        <v>39.302325581395351</v>
      </c>
      <c r="N21" s="245">
        <f t="shared" si="8"/>
        <v>33.333333333333329</v>
      </c>
      <c r="O21" s="245">
        <f t="shared" si="8"/>
        <v>42.541436464088399</v>
      </c>
      <c r="P21" s="245">
        <f t="shared" si="8"/>
        <v>43.504531722054381</v>
      </c>
      <c r="Q21" s="245">
        <f t="shared" si="8"/>
        <v>32.258064516129032</v>
      </c>
    </row>
    <row r="22" spans="1:17" s="246" customFormat="1" ht="12.75">
      <c r="A22" s="448" t="s">
        <v>433</v>
      </c>
      <c r="B22" s="448"/>
      <c r="C22" s="448"/>
      <c r="D22" s="448"/>
      <c r="E22" s="448"/>
      <c r="F22" s="448"/>
      <c r="G22" s="448"/>
    </row>
    <row r="23" spans="1:17" ht="30" customHeight="1">
      <c r="A23" s="445" t="s">
        <v>754</v>
      </c>
      <c r="B23" s="446"/>
      <c r="C23" s="446"/>
      <c r="D23" s="446"/>
      <c r="E23" s="446"/>
      <c r="F23" s="446"/>
      <c r="G23" s="446"/>
      <c r="H23" s="446"/>
      <c r="I23" s="446"/>
      <c r="J23" s="446"/>
      <c r="K23" s="446"/>
      <c r="L23" s="446"/>
      <c r="M23" s="446"/>
      <c r="N23" s="446"/>
      <c r="O23" s="446"/>
      <c r="P23" s="446"/>
      <c r="Q23" s="446"/>
    </row>
    <row r="24" spans="1:17">
      <c r="C24" s="247"/>
      <c r="D24" s="247"/>
      <c r="E24" s="247"/>
      <c r="F24" s="247"/>
      <c r="G24" s="247"/>
      <c r="H24" s="247"/>
      <c r="I24" s="247"/>
      <c r="J24" s="247"/>
      <c r="K24" s="247"/>
      <c r="L24" s="247"/>
      <c r="M24" s="247"/>
      <c r="N24" s="247"/>
    </row>
  </sheetData>
  <mergeCells count="18">
    <mergeCell ref="A4:A5"/>
    <mergeCell ref="A6:A7"/>
    <mergeCell ref="A1:Q1"/>
    <mergeCell ref="A2:B3"/>
    <mergeCell ref="C2:E2"/>
    <mergeCell ref="F2:H2"/>
    <mergeCell ref="I2:K2"/>
    <mergeCell ref="L2:N2"/>
    <mergeCell ref="O2:Q2"/>
    <mergeCell ref="A8:A9"/>
    <mergeCell ref="A10:A11"/>
    <mergeCell ref="A12:A13"/>
    <mergeCell ref="A14:A15"/>
    <mergeCell ref="A23:Q23"/>
    <mergeCell ref="A16:A17"/>
    <mergeCell ref="A18:A19"/>
    <mergeCell ref="A20:A21"/>
    <mergeCell ref="A22:G2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4"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23"/>
  <sheetViews>
    <sheetView showGridLines="0" zoomScale="80" zoomScaleNormal="80" workbookViewId="0">
      <pane xSplit="2" ySplit="2" topLeftCell="D3" activePane="bottomRight" state="frozen"/>
      <selection activeCell="F17" sqref="F17"/>
      <selection pane="topRight" activeCell="F17" sqref="F17"/>
      <selection pane="bottomLeft" activeCell="F17" sqref="F17"/>
      <selection pane="bottomRight" activeCell="A17" sqref="A17:Q17"/>
    </sheetView>
  </sheetViews>
  <sheetFormatPr defaultColWidth="8.875" defaultRowHeight="15.75"/>
  <cols>
    <col min="1" max="1" width="14.375" style="233" customWidth="1"/>
    <col min="2" max="2" width="4.375" style="233" customWidth="1"/>
    <col min="3" max="17" width="8.375" style="233" customWidth="1"/>
    <col min="18" max="256" width="9" style="233"/>
    <col min="257" max="257" width="21.375" style="233" customWidth="1"/>
    <col min="258" max="258" width="6.375" style="233" customWidth="1"/>
    <col min="259" max="273" width="7.125" style="233" customWidth="1"/>
    <col min="274" max="512" width="9" style="233"/>
    <col min="513" max="513" width="21.375" style="233" customWidth="1"/>
    <col min="514" max="514" width="6.375" style="233" customWidth="1"/>
    <col min="515" max="529" width="7.125" style="233" customWidth="1"/>
    <col min="530" max="768" width="9" style="233"/>
    <col min="769" max="769" width="21.375" style="233" customWidth="1"/>
    <col min="770" max="770" width="6.375" style="233" customWidth="1"/>
    <col min="771" max="785" width="7.125" style="233" customWidth="1"/>
    <col min="786" max="1024" width="9" style="233"/>
    <col min="1025" max="1025" width="21.375" style="233" customWidth="1"/>
    <col min="1026" max="1026" width="6.375" style="233" customWidth="1"/>
    <col min="1027" max="1041" width="7.125" style="233" customWidth="1"/>
    <col min="1042" max="1280" width="9" style="233"/>
    <col min="1281" max="1281" width="21.375" style="233" customWidth="1"/>
    <col min="1282" max="1282" width="6.375" style="233" customWidth="1"/>
    <col min="1283" max="1297" width="7.125" style="233" customWidth="1"/>
    <col min="1298" max="1536" width="9" style="233"/>
    <col min="1537" max="1537" width="21.375" style="233" customWidth="1"/>
    <col min="1538" max="1538" width="6.375" style="233" customWidth="1"/>
    <col min="1539" max="1553" width="7.125" style="233" customWidth="1"/>
    <col min="1554" max="1792" width="9" style="233"/>
    <col min="1793" max="1793" width="21.375" style="233" customWidth="1"/>
    <col min="1794" max="1794" width="6.375" style="233" customWidth="1"/>
    <col min="1795" max="1809" width="7.125" style="233" customWidth="1"/>
    <col min="1810" max="2048" width="9" style="233"/>
    <col min="2049" max="2049" width="21.375" style="233" customWidth="1"/>
    <col min="2050" max="2050" width="6.375" style="233" customWidth="1"/>
    <col min="2051" max="2065" width="7.125" style="233" customWidth="1"/>
    <col min="2066" max="2304" width="9" style="233"/>
    <col min="2305" max="2305" width="21.375" style="233" customWidth="1"/>
    <col min="2306" max="2306" width="6.375" style="233" customWidth="1"/>
    <col min="2307" max="2321" width="7.125" style="233" customWidth="1"/>
    <col min="2322" max="2560" width="9" style="233"/>
    <col min="2561" max="2561" width="21.375" style="233" customWidth="1"/>
    <col min="2562" max="2562" width="6.375" style="233" customWidth="1"/>
    <col min="2563" max="2577" width="7.125" style="233" customWidth="1"/>
    <col min="2578" max="2816" width="9" style="233"/>
    <col min="2817" max="2817" width="21.375" style="233" customWidth="1"/>
    <col min="2818" max="2818" width="6.375" style="233" customWidth="1"/>
    <col min="2819" max="2833" width="7.125" style="233" customWidth="1"/>
    <col min="2834" max="3072" width="9" style="233"/>
    <col min="3073" max="3073" width="21.375" style="233" customWidth="1"/>
    <col min="3074" max="3074" width="6.375" style="233" customWidth="1"/>
    <col min="3075" max="3089" width="7.125" style="233" customWidth="1"/>
    <col min="3090" max="3328" width="9" style="233"/>
    <col min="3329" max="3329" width="21.375" style="233" customWidth="1"/>
    <col min="3330" max="3330" width="6.375" style="233" customWidth="1"/>
    <col min="3331" max="3345" width="7.125" style="233" customWidth="1"/>
    <col min="3346" max="3584" width="9" style="233"/>
    <col min="3585" max="3585" width="21.375" style="233" customWidth="1"/>
    <col min="3586" max="3586" width="6.375" style="233" customWidth="1"/>
    <col min="3587" max="3601" width="7.125" style="233" customWidth="1"/>
    <col min="3602" max="3840" width="9" style="233"/>
    <col min="3841" max="3841" width="21.375" style="233" customWidth="1"/>
    <col min="3842" max="3842" width="6.375" style="233" customWidth="1"/>
    <col min="3843" max="3857" width="7.125" style="233" customWidth="1"/>
    <col min="3858" max="4096" width="9" style="233"/>
    <col min="4097" max="4097" width="21.375" style="233" customWidth="1"/>
    <col min="4098" max="4098" width="6.375" style="233" customWidth="1"/>
    <col min="4099" max="4113" width="7.125" style="233" customWidth="1"/>
    <col min="4114" max="4352" width="9" style="233"/>
    <col min="4353" max="4353" width="21.375" style="233" customWidth="1"/>
    <col min="4354" max="4354" width="6.375" style="233" customWidth="1"/>
    <col min="4355" max="4369" width="7.125" style="233" customWidth="1"/>
    <col min="4370" max="4608" width="9" style="233"/>
    <col min="4609" max="4609" width="21.375" style="233" customWidth="1"/>
    <col min="4610" max="4610" width="6.375" style="233" customWidth="1"/>
    <col min="4611" max="4625" width="7.125" style="233" customWidth="1"/>
    <col min="4626" max="4864" width="9" style="233"/>
    <col min="4865" max="4865" width="21.375" style="233" customWidth="1"/>
    <col min="4866" max="4866" width="6.375" style="233" customWidth="1"/>
    <col min="4867" max="4881" width="7.125" style="233" customWidth="1"/>
    <col min="4882" max="5120" width="9" style="233"/>
    <col min="5121" max="5121" width="21.375" style="233" customWidth="1"/>
    <col min="5122" max="5122" width="6.375" style="233" customWidth="1"/>
    <col min="5123" max="5137" width="7.125" style="233" customWidth="1"/>
    <col min="5138" max="5376" width="9" style="233"/>
    <col min="5377" max="5377" width="21.375" style="233" customWidth="1"/>
    <col min="5378" max="5378" width="6.375" style="233" customWidth="1"/>
    <col min="5379" max="5393" width="7.125" style="233" customWidth="1"/>
    <col min="5394" max="5632" width="9" style="233"/>
    <col min="5633" max="5633" width="21.375" style="233" customWidth="1"/>
    <col min="5634" max="5634" width="6.375" style="233" customWidth="1"/>
    <col min="5635" max="5649" width="7.125" style="233" customWidth="1"/>
    <col min="5650" max="5888" width="9" style="233"/>
    <col min="5889" max="5889" width="21.375" style="233" customWidth="1"/>
    <col min="5890" max="5890" width="6.375" style="233" customWidth="1"/>
    <col min="5891" max="5905" width="7.125" style="233" customWidth="1"/>
    <col min="5906" max="6144" width="9" style="233"/>
    <col min="6145" max="6145" width="21.375" style="233" customWidth="1"/>
    <col min="6146" max="6146" width="6.375" style="233" customWidth="1"/>
    <col min="6147" max="6161" width="7.125" style="233" customWidth="1"/>
    <col min="6162" max="6400" width="9" style="233"/>
    <col min="6401" max="6401" width="21.375" style="233" customWidth="1"/>
    <col min="6402" max="6402" width="6.375" style="233" customWidth="1"/>
    <col min="6403" max="6417" width="7.125" style="233" customWidth="1"/>
    <col min="6418" max="6656" width="9" style="233"/>
    <col min="6657" max="6657" width="21.375" style="233" customWidth="1"/>
    <col min="6658" max="6658" width="6.375" style="233" customWidth="1"/>
    <col min="6659" max="6673" width="7.125" style="233" customWidth="1"/>
    <col min="6674" max="6912" width="9" style="233"/>
    <col min="6913" max="6913" width="21.375" style="233" customWidth="1"/>
    <col min="6914" max="6914" width="6.375" style="233" customWidth="1"/>
    <col min="6915" max="6929" width="7.125" style="233" customWidth="1"/>
    <col min="6930" max="7168" width="9" style="233"/>
    <col min="7169" max="7169" width="21.375" style="233" customWidth="1"/>
    <col min="7170" max="7170" width="6.375" style="233" customWidth="1"/>
    <col min="7171" max="7185" width="7.125" style="233" customWidth="1"/>
    <col min="7186" max="7424" width="9" style="233"/>
    <col min="7425" max="7425" width="21.375" style="233" customWidth="1"/>
    <col min="7426" max="7426" width="6.375" style="233" customWidth="1"/>
    <col min="7427" max="7441" width="7.125" style="233" customWidth="1"/>
    <col min="7442" max="7680" width="9" style="233"/>
    <col min="7681" max="7681" width="21.375" style="233" customWidth="1"/>
    <col min="7682" max="7682" width="6.375" style="233" customWidth="1"/>
    <col min="7683" max="7697" width="7.125" style="233" customWidth="1"/>
    <col min="7698" max="7936" width="9" style="233"/>
    <col min="7937" max="7937" width="21.375" style="233" customWidth="1"/>
    <col min="7938" max="7938" width="6.375" style="233" customWidth="1"/>
    <col min="7939" max="7953" width="7.125" style="233" customWidth="1"/>
    <col min="7954" max="8192" width="9" style="233"/>
    <col min="8193" max="8193" width="21.375" style="233" customWidth="1"/>
    <col min="8194" max="8194" width="6.375" style="233" customWidth="1"/>
    <col min="8195" max="8209" width="7.125" style="233" customWidth="1"/>
    <col min="8210" max="8448" width="9" style="233"/>
    <col min="8449" max="8449" width="21.375" style="233" customWidth="1"/>
    <col min="8450" max="8450" width="6.375" style="233" customWidth="1"/>
    <col min="8451" max="8465" width="7.125" style="233" customWidth="1"/>
    <col min="8466" max="8704" width="9" style="233"/>
    <col min="8705" max="8705" width="21.375" style="233" customWidth="1"/>
    <col min="8706" max="8706" width="6.375" style="233" customWidth="1"/>
    <col min="8707" max="8721" width="7.125" style="233" customWidth="1"/>
    <col min="8722" max="8960" width="9" style="233"/>
    <col min="8961" max="8961" width="21.375" style="233" customWidth="1"/>
    <col min="8962" max="8962" width="6.375" style="233" customWidth="1"/>
    <col min="8963" max="8977" width="7.125" style="233" customWidth="1"/>
    <col min="8978" max="9216" width="9" style="233"/>
    <col min="9217" max="9217" width="21.375" style="233" customWidth="1"/>
    <col min="9218" max="9218" width="6.375" style="233" customWidth="1"/>
    <col min="9219" max="9233" width="7.125" style="233" customWidth="1"/>
    <col min="9234" max="9472" width="9" style="233"/>
    <col min="9473" max="9473" width="21.375" style="233" customWidth="1"/>
    <col min="9474" max="9474" width="6.375" style="233" customWidth="1"/>
    <col min="9475" max="9489" width="7.125" style="233" customWidth="1"/>
    <col min="9490" max="9728" width="9" style="233"/>
    <col min="9729" max="9729" width="21.375" style="233" customWidth="1"/>
    <col min="9730" max="9730" width="6.375" style="233" customWidth="1"/>
    <col min="9731" max="9745" width="7.125" style="233" customWidth="1"/>
    <col min="9746" max="9984" width="9" style="233"/>
    <col min="9985" max="9985" width="21.375" style="233" customWidth="1"/>
    <col min="9986" max="9986" width="6.375" style="233" customWidth="1"/>
    <col min="9987" max="10001" width="7.125" style="233" customWidth="1"/>
    <col min="10002" max="10240" width="9" style="233"/>
    <col min="10241" max="10241" width="21.375" style="233" customWidth="1"/>
    <col min="10242" max="10242" width="6.375" style="233" customWidth="1"/>
    <col min="10243" max="10257" width="7.125" style="233" customWidth="1"/>
    <col min="10258" max="10496" width="9" style="233"/>
    <col min="10497" max="10497" width="21.375" style="233" customWidth="1"/>
    <col min="10498" max="10498" width="6.375" style="233" customWidth="1"/>
    <col min="10499" max="10513" width="7.125" style="233" customWidth="1"/>
    <col min="10514" max="10752" width="9" style="233"/>
    <col min="10753" max="10753" width="21.375" style="233" customWidth="1"/>
    <col min="10754" max="10754" width="6.375" style="233" customWidth="1"/>
    <col min="10755" max="10769" width="7.125" style="233" customWidth="1"/>
    <col min="10770" max="11008" width="9" style="233"/>
    <col min="11009" max="11009" width="21.375" style="233" customWidth="1"/>
    <col min="11010" max="11010" width="6.375" style="233" customWidth="1"/>
    <col min="11011" max="11025" width="7.125" style="233" customWidth="1"/>
    <col min="11026" max="11264" width="9" style="233"/>
    <col min="11265" max="11265" width="21.375" style="233" customWidth="1"/>
    <col min="11266" max="11266" width="6.375" style="233" customWidth="1"/>
    <col min="11267" max="11281" width="7.125" style="233" customWidth="1"/>
    <col min="11282" max="11520" width="9" style="233"/>
    <col min="11521" max="11521" width="21.375" style="233" customWidth="1"/>
    <col min="11522" max="11522" width="6.375" style="233" customWidth="1"/>
    <col min="11523" max="11537" width="7.125" style="233" customWidth="1"/>
    <col min="11538" max="11776" width="9" style="233"/>
    <col min="11777" max="11777" width="21.375" style="233" customWidth="1"/>
    <col min="11778" max="11778" width="6.375" style="233" customWidth="1"/>
    <col min="11779" max="11793" width="7.125" style="233" customWidth="1"/>
    <col min="11794" max="12032" width="9" style="233"/>
    <col min="12033" max="12033" width="21.375" style="233" customWidth="1"/>
    <col min="12034" max="12034" width="6.375" style="233" customWidth="1"/>
    <col min="12035" max="12049" width="7.125" style="233" customWidth="1"/>
    <col min="12050" max="12288" width="9" style="233"/>
    <col min="12289" max="12289" width="21.375" style="233" customWidth="1"/>
    <col min="12290" max="12290" width="6.375" style="233" customWidth="1"/>
    <col min="12291" max="12305" width="7.125" style="233" customWidth="1"/>
    <col min="12306" max="12544" width="9" style="233"/>
    <col min="12545" max="12545" width="21.375" style="233" customWidth="1"/>
    <col min="12546" max="12546" width="6.375" style="233" customWidth="1"/>
    <col min="12547" max="12561" width="7.125" style="233" customWidth="1"/>
    <col min="12562" max="12800" width="9" style="233"/>
    <col min="12801" max="12801" width="21.375" style="233" customWidth="1"/>
    <col min="12802" max="12802" width="6.375" style="233" customWidth="1"/>
    <col min="12803" max="12817" width="7.125" style="233" customWidth="1"/>
    <col min="12818" max="13056" width="9" style="233"/>
    <col min="13057" max="13057" width="21.375" style="233" customWidth="1"/>
    <col min="13058" max="13058" width="6.375" style="233" customWidth="1"/>
    <col min="13059" max="13073" width="7.125" style="233" customWidth="1"/>
    <col min="13074" max="13312" width="9" style="233"/>
    <col min="13313" max="13313" width="21.375" style="233" customWidth="1"/>
    <col min="13314" max="13314" width="6.375" style="233" customWidth="1"/>
    <col min="13315" max="13329" width="7.125" style="233" customWidth="1"/>
    <col min="13330" max="13568" width="9" style="233"/>
    <col min="13569" max="13569" width="21.375" style="233" customWidth="1"/>
    <col min="13570" max="13570" width="6.375" style="233" customWidth="1"/>
    <col min="13571" max="13585" width="7.125" style="233" customWidth="1"/>
    <col min="13586" max="13824" width="9" style="233"/>
    <col min="13825" max="13825" width="21.375" style="233" customWidth="1"/>
    <col min="13826" max="13826" width="6.375" style="233" customWidth="1"/>
    <col min="13827" max="13841" width="7.125" style="233" customWidth="1"/>
    <col min="13842" max="14080" width="9" style="233"/>
    <col min="14081" max="14081" width="21.375" style="233" customWidth="1"/>
    <col min="14082" max="14082" width="6.375" style="233" customWidth="1"/>
    <col min="14083" max="14097" width="7.125" style="233" customWidth="1"/>
    <col min="14098" max="14336" width="9" style="233"/>
    <col min="14337" max="14337" width="21.375" style="233" customWidth="1"/>
    <col min="14338" max="14338" width="6.375" style="233" customWidth="1"/>
    <col min="14339" max="14353" width="7.125" style="233" customWidth="1"/>
    <col min="14354" max="14592" width="9" style="233"/>
    <col min="14593" max="14593" width="21.375" style="233" customWidth="1"/>
    <col min="14594" max="14594" width="6.375" style="233" customWidth="1"/>
    <col min="14595" max="14609" width="7.125" style="233" customWidth="1"/>
    <col min="14610" max="14848" width="9" style="233"/>
    <col min="14849" max="14849" width="21.375" style="233" customWidth="1"/>
    <col min="14850" max="14850" width="6.375" style="233" customWidth="1"/>
    <col min="14851" max="14865" width="7.125" style="233" customWidth="1"/>
    <col min="14866" max="15104" width="9" style="233"/>
    <col min="15105" max="15105" width="21.375" style="233" customWidth="1"/>
    <col min="15106" max="15106" width="6.375" style="233" customWidth="1"/>
    <col min="15107" max="15121" width="7.125" style="233" customWidth="1"/>
    <col min="15122" max="15360" width="9" style="233"/>
    <col min="15361" max="15361" width="21.375" style="233" customWidth="1"/>
    <col min="15362" max="15362" width="6.375" style="233" customWidth="1"/>
    <col min="15363" max="15377" width="7.125" style="233" customWidth="1"/>
    <col min="15378" max="15616" width="9" style="233"/>
    <col min="15617" max="15617" width="21.375" style="233" customWidth="1"/>
    <col min="15618" max="15618" width="6.375" style="233" customWidth="1"/>
    <col min="15619" max="15633" width="7.125" style="233" customWidth="1"/>
    <col min="15634" max="15872" width="9" style="233"/>
    <col min="15873" max="15873" width="21.375" style="233" customWidth="1"/>
    <col min="15874" max="15874" width="6.375" style="233" customWidth="1"/>
    <col min="15875" max="15889" width="7.125" style="233" customWidth="1"/>
    <col min="15890" max="16128" width="9" style="233"/>
    <col min="16129" max="16129" width="21.375" style="233" customWidth="1"/>
    <col min="16130" max="16130" width="6.375" style="233" customWidth="1"/>
    <col min="16131" max="16145" width="7.125" style="233" customWidth="1"/>
    <col min="16146" max="16384" width="9" style="233"/>
  </cols>
  <sheetData>
    <row r="1" spans="1:17" s="237" customFormat="1" ht="30" customHeight="1">
      <c r="A1" s="449" t="s">
        <v>664</v>
      </c>
      <c r="B1" s="449"/>
      <c r="C1" s="449"/>
      <c r="D1" s="449"/>
      <c r="E1" s="449"/>
      <c r="F1" s="449"/>
      <c r="G1" s="449"/>
      <c r="H1" s="449"/>
      <c r="I1" s="449"/>
      <c r="J1" s="449"/>
      <c r="K1" s="449"/>
      <c r="L1" s="449"/>
      <c r="M1" s="449"/>
      <c r="N1" s="449"/>
      <c r="O1" s="450"/>
      <c r="P1" s="450"/>
      <c r="Q1" s="450"/>
    </row>
    <row r="2" spans="1:17" ht="30" customHeight="1">
      <c r="A2" s="451"/>
      <c r="B2" s="451"/>
      <c r="C2" s="452" t="s">
        <v>755</v>
      </c>
      <c r="D2" s="452"/>
      <c r="E2" s="452"/>
      <c r="F2" s="452" t="s">
        <v>35</v>
      </c>
      <c r="G2" s="452"/>
      <c r="H2" s="452"/>
      <c r="I2" s="452" t="s">
        <v>36</v>
      </c>
      <c r="J2" s="452"/>
      <c r="K2" s="452"/>
      <c r="L2" s="452" t="s">
        <v>37</v>
      </c>
      <c r="M2" s="452"/>
      <c r="N2" s="452"/>
      <c r="O2" s="452" t="s">
        <v>567</v>
      </c>
      <c r="P2" s="452"/>
      <c r="Q2" s="452"/>
    </row>
    <row r="3" spans="1:17" ht="30" customHeight="1">
      <c r="A3" s="444"/>
      <c r="B3" s="444"/>
      <c r="C3" s="232" t="s">
        <v>756</v>
      </c>
      <c r="D3" s="232" t="s">
        <v>348</v>
      </c>
      <c r="E3" s="232" t="s">
        <v>349</v>
      </c>
      <c r="F3" s="232" t="s">
        <v>757</v>
      </c>
      <c r="G3" s="232" t="s">
        <v>758</v>
      </c>
      <c r="H3" s="232" t="s">
        <v>349</v>
      </c>
      <c r="I3" s="232" t="s">
        <v>756</v>
      </c>
      <c r="J3" s="232" t="s">
        <v>348</v>
      </c>
      <c r="K3" s="232" t="s">
        <v>759</v>
      </c>
      <c r="L3" s="232" t="s">
        <v>347</v>
      </c>
      <c r="M3" s="232" t="s">
        <v>760</v>
      </c>
      <c r="N3" s="232" t="s">
        <v>759</v>
      </c>
      <c r="O3" s="232" t="s">
        <v>756</v>
      </c>
      <c r="P3" s="232" t="s">
        <v>348</v>
      </c>
      <c r="Q3" s="232" t="s">
        <v>349</v>
      </c>
    </row>
    <row r="4" spans="1:17" s="240" customFormat="1" ht="35.25" customHeight="1">
      <c r="A4" s="444" t="s">
        <v>363</v>
      </c>
      <c r="B4" s="239" t="s">
        <v>761</v>
      </c>
      <c r="C4" s="235">
        <f t="shared" ref="C4:Q5" si="0">SUM(C12,C14,C8,C6,C10,)</f>
        <v>738</v>
      </c>
      <c r="D4" s="235">
        <f t="shared" si="0"/>
        <v>636</v>
      </c>
      <c r="E4" s="235">
        <f t="shared" si="0"/>
        <v>102</v>
      </c>
      <c r="F4" s="235">
        <f t="shared" si="0"/>
        <v>475</v>
      </c>
      <c r="G4" s="235">
        <f t="shared" si="0"/>
        <v>420</v>
      </c>
      <c r="H4" s="235">
        <f t="shared" si="0"/>
        <v>55</v>
      </c>
      <c r="I4" s="235">
        <f t="shared" si="0"/>
        <v>473</v>
      </c>
      <c r="J4" s="235">
        <f t="shared" si="0"/>
        <v>402</v>
      </c>
      <c r="K4" s="235">
        <f t="shared" si="0"/>
        <v>71</v>
      </c>
      <c r="L4" s="236">
        <f t="shared" si="0"/>
        <v>475</v>
      </c>
      <c r="M4" s="236">
        <f t="shared" si="0"/>
        <v>430</v>
      </c>
      <c r="N4" s="236">
        <f t="shared" si="0"/>
        <v>45</v>
      </c>
      <c r="O4" s="236">
        <f t="shared" si="0"/>
        <v>362</v>
      </c>
      <c r="P4" s="236">
        <f t="shared" si="0"/>
        <v>331</v>
      </c>
      <c r="Q4" s="236">
        <f t="shared" si="0"/>
        <v>31</v>
      </c>
    </row>
    <row r="5" spans="1:17" s="243" customFormat="1" ht="35.25" customHeight="1">
      <c r="A5" s="444" t="s">
        <v>762</v>
      </c>
      <c r="B5" s="241" t="s">
        <v>351</v>
      </c>
      <c r="C5" s="242">
        <f t="shared" si="0"/>
        <v>100.00000000000001</v>
      </c>
      <c r="D5" s="242">
        <f t="shared" si="0"/>
        <v>100</v>
      </c>
      <c r="E5" s="242">
        <f t="shared" si="0"/>
        <v>100</v>
      </c>
      <c r="F5" s="242">
        <f t="shared" si="0"/>
        <v>99.999999999999986</v>
      </c>
      <c r="G5" s="242">
        <f t="shared" si="0"/>
        <v>100</v>
      </c>
      <c r="H5" s="242">
        <f t="shared" si="0"/>
        <v>100</v>
      </c>
      <c r="I5" s="242">
        <f t="shared" si="0"/>
        <v>100</v>
      </c>
      <c r="J5" s="242">
        <f t="shared" si="0"/>
        <v>100</v>
      </c>
      <c r="K5" s="242">
        <f t="shared" si="0"/>
        <v>100</v>
      </c>
      <c r="L5" s="242">
        <f t="shared" si="0"/>
        <v>100</v>
      </c>
      <c r="M5" s="242">
        <f t="shared" si="0"/>
        <v>100</v>
      </c>
      <c r="N5" s="242">
        <f t="shared" si="0"/>
        <v>100</v>
      </c>
      <c r="O5" s="242">
        <f t="shared" si="0"/>
        <v>100</v>
      </c>
      <c r="P5" s="242">
        <f t="shared" si="0"/>
        <v>100</v>
      </c>
      <c r="Q5" s="242">
        <f t="shared" si="0"/>
        <v>100</v>
      </c>
    </row>
    <row r="6" spans="1:17" s="240" customFormat="1" ht="35.25" customHeight="1">
      <c r="A6" s="444" t="s">
        <v>763</v>
      </c>
      <c r="B6" s="239" t="s">
        <v>761</v>
      </c>
      <c r="C6" s="235">
        <v>380</v>
      </c>
      <c r="D6" s="235">
        <v>333</v>
      </c>
      <c r="E6" s="235">
        <v>47</v>
      </c>
      <c r="F6" s="235">
        <v>223</v>
      </c>
      <c r="G6" s="235">
        <v>197</v>
      </c>
      <c r="H6" s="235">
        <v>26</v>
      </c>
      <c r="I6" s="235">
        <v>225</v>
      </c>
      <c r="J6" s="235">
        <v>182</v>
      </c>
      <c r="K6" s="235">
        <v>43</v>
      </c>
      <c r="L6" s="235">
        <v>263</v>
      </c>
      <c r="M6" s="235">
        <v>241</v>
      </c>
      <c r="N6" s="235">
        <v>22</v>
      </c>
      <c r="O6" s="235">
        <v>203</v>
      </c>
      <c r="P6" s="235">
        <v>186</v>
      </c>
      <c r="Q6" s="235">
        <v>17</v>
      </c>
    </row>
    <row r="7" spans="1:17" s="243" customFormat="1" ht="35.25" customHeight="1">
      <c r="A7" s="444"/>
      <c r="B7" s="241" t="s">
        <v>351</v>
      </c>
      <c r="C7" s="242">
        <f>IFERROR(C6/C$4*100,"-")</f>
        <v>51.490514905149055</v>
      </c>
      <c r="D7" s="242">
        <f t="shared" ref="D7:Q7" si="1">IFERROR(D6/D$4*100,"-")</f>
        <v>52.358490566037744</v>
      </c>
      <c r="E7" s="242">
        <f t="shared" si="1"/>
        <v>46.078431372549019</v>
      </c>
      <c r="F7" s="242">
        <f t="shared" si="1"/>
        <v>46.94736842105263</v>
      </c>
      <c r="G7" s="242">
        <f t="shared" si="1"/>
        <v>46.904761904761905</v>
      </c>
      <c r="H7" s="242">
        <f t="shared" si="1"/>
        <v>47.272727272727273</v>
      </c>
      <c r="I7" s="242">
        <f t="shared" si="1"/>
        <v>47.568710359408037</v>
      </c>
      <c r="J7" s="242">
        <f t="shared" si="1"/>
        <v>45.273631840796021</v>
      </c>
      <c r="K7" s="242">
        <f t="shared" si="1"/>
        <v>60.563380281690137</v>
      </c>
      <c r="L7" s="242">
        <f t="shared" si="1"/>
        <v>55.368421052631575</v>
      </c>
      <c r="M7" s="242">
        <f t="shared" si="1"/>
        <v>56.04651162790698</v>
      </c>
      <c r="N7" s="242">
        <f t="shared" si="1"/>
        <v>48.888888888888886</v>
      </c>
      <c r="O7" s="242">
        <f t="shared" si="1"/>
        <v>56.077348066298342</v>
      </c>
      <c r="P7" s="242">
        <f t="shared" si="1"/>
        <v>56.19335347432024</v>
      </c>
      <c r="Q7" s="242">
        <f t="shared" si="1"/>
        <v>54.838709677419352</v>
      </c>
    </row>
    <row r="8" spans="1:17" s="240" customFormat="1" ht="35.25" customHeight="1">
      <c r="A8" s="444" t="s">
        <v>764</v>
      </c>
      <c r="B8" s="239" t="s">
        <v>761</v>
      </c>
      <c r="C8" s="235">
        <v>352</v>
      </c>
      <c r="D8" s="235">
        <v>298</v>
      </c>
      <c r="E8" s="235">
        <v>54</v>
      </c>
      <c r="F8" s="235">
        <v>248</v>
      </c>
      <c r="G8" s="235">
        <v>219</v>
      </c>
      <c r="H8" s="235">
        <v>29</v>
      </c>
      <c r="I8" s="235">
        <v>222</v>
      </c>
      <c r="J8" s="235">
        <v>195</v>
      </c>
      <c r="K8" s="235">
        <v>27</v>
      </c>
      <c r="L8" s="235">
        <v>199</v>
      </c>
      <c r="M8" s="235">
        <v>176</v>
      </c>
      <c r="N8" s="235">
        <v>23</v>
      </c>
      <c r="O8" s="235">
        <v>144</v>
      </c>
      <c r="P8" s="235">
        <v>132</v>
      </c>
      <c r="Q8" s="235">
        <v>12</v>
      </c>
    </row>
    <row r="9" spans="1:17" s="243" customFormat="1" ht="35.25" customHeight="1">
      <c r="A9" s="444"/>
      <c r="B9" s="241" t="s">
        <v>351</v>
      </c>
      <c r="C9" s="242">
        <f>IFERROR(C8/C$4*100,"-")</f>
        <v>47.696476964769644</v>
      </c>
      <c r="D9" s="242">
        <f t="shared" ref="D9:Q9" si="2">IFERROR(D8/D$4*100,"-")</f>
        <v>46.855345911949684</v>
      </c>
      <c r="E9" s="242">
        <f t="shared" si="2"/>
        <v>52.941176470588239</v>
      </c>
      <c r="F9" s="242">
        <f t="shared" si="2"/>
        <v>52.210526315789473</v>
      </c>
      <c r="G9" s="242">
        <f t="shared" si="2"/>
        <v>52.142857142857146</v>
      </c>
      <c r="H9" s="242">
        <f t="shared" si="2"/>
        <v>52.72727272727272</v>
      </c>
      <c r="I9" s="242">
        <f t="shared" si="2"/>
        <v>46.934460887949257</v>
      </c>
      <c r="J9" s="242">
        <f t="shared" si="2"/>
        <v>48.507462686567166</v>
      </c>
      <c r="K9" s="242">
        <f t="shared" si="2"/>
        <v>38.028169014084504</v>
      </c>
      <c r="L9" s="242">
        <f t="shared" si="2"/>
        <v>41.89473684210526</v>
      </c>
      <c r="M9" s="242">
        <f t="shared" si="2"/>
        <v>40.930232558139537</v>
      </c>
      <c r="N9" s="242">
        <f t="shared" si="2"/>
        <v>51.111111111111107</v>
      </c>
      <c r="O9" s="242">
        <f t="shared" si="2"/>
        <v>39.77900552486188</v>
      </c>
      <c r="P9" s="242">
        <f t="shared" si="2"/>
        <v>39.879154078549853</v>
      </c>
      <c r="Q9" s="242">
        <f t="shared" si="2"/>
        <v>38.70967741935484</v>
      </c>
    </row>
    <row r="10" spans="1:17" s="240" customFormat="1" ht="35.25" customHeight="1">
      <c r="A10" s="444" t="s">
        <v>765</v>
      </c>
      <c r="B10" s="239" t="s">
        <v>766</v>
      </c>
      <c r="C10" s="235">
        <v>2</v>
      </c>
      <c r="D10" s="235">
        <v>2</v>
      </c>
      <c r="E10" s="235" t="s">
        <v>9</v>
      </c>
      <c r="F10" s="235">
        <v>2</v>
      </c>
      <c r="G10" s="235">
        <v>2</v>
      </c>
      <c r="H10" s="235" t="s">
        <v>9</v>
      </c>
      <c r="I10" s="235">
        <v>25</v>
      </c>
      <c r="J10" s="235">
        <v>24</v>
      </c>
      <c r="K10" s="235">
        <v>1</v>
      </c>
      <c r="L10" s="235">
        <v>13</v>
      </c>
      <c r="M10" s="235">
        <v>13</v>
      </c>
      <c r="N10" s="235" t="s">
        <v>9</v>
      </c>
      <c r="O10" s="235">
        <v>13</v>
      </c>
      <c r="P10" s="235">
        <v>11</v>
      </c>
      <c r="Q10" s="235">
        <v>2</v>
      </c>
    </row>
    <row r="11" spans="1:17" s="243" customFormat="1" ht="35.25" customHeight="1">
      <c r="A11" s="444"/>
      <c r="B11" s="241" t="s">
        <v>351</v>
      </c>
      <c r="C11" s="242">
        <f>IFERROR(C10/C$4*100,"-")</f>
        <v>0.27100271002710025</v>
      </c>
      <c r="D11" s="242">
        <f t="shared" ref="D11:Q11" si="3">IFERROR(D10/D$4*100,"-")</f>
        <v>0.31446540880503149</v>
      </c>
      <c r="E11" s="242" t="str">
        <f t="shared" si="3"/>
        <v>-</v>
      </c>
      <c r="F11" s="242">
        <f t="shared" si="3"/>
        <v>0.42105263157894735</v>
      </c>
      <c r="G11" s="242">
        <f t="shared" si="3"/>
        <v>0.47619047619047622</v>
      </c>
      <c r="H11" s="242" t="str">
        <f t="shared" si="3"/>
        <v>-</v>
      </c>
      <c r="I11" s="242">
        <f t="shared" si="3"/>
        <v>5.2854122621564485</v>
      </c>
      <c r="J11" s="242">
        <f t="shared" si="3"/>
        <v>5.9701492537313428</v>
      </c>
      <c r="K11" s="242">
        <f t="shared" si="3"/>
        <v>1.4084507042253522</v>
      </c>
      <c r="L11" s="242">
        <f t="shared" si="3"/>
        <v>2.736842105263158</v>
      </c>
      <c r="M11" s="242">
        <f t="shared" si="3"/>
        <v>3.0232558139534884</v>
      </c>
      <c r="N11" s="242" t="str">
        <f t="shared" si="3"/>
        <v>-</v>
      </c>
      <c r="O11" s="242">
        <f t="shared" si="3"/>
        <v>3.5911602209944751</v>
      </c>
      <c r="P11" s="242">
        <f t="shared" si="3"/>
        <v>3.3232628398791544</v>
      </c>
      <c r="Q11" s="242">
        <f t="shared" si="3"/>
        <v>6.4516129032258061</v>
      </c>
    </row>
    <row r="12" spans="1:17" s="240" customFormat="1" ht="35.25" customHeight="1">
      <c r="A12" s="444" t="s">
        <v>767</v>
      </c>
      <c r="B12" s="239" t="s">
        <v>766</v>
      </c>
      <c r="C12" s="235">
        <v>3</v>
      </c>
      <c r="D12" s="235">
        <v>2</v>
      </c>
      <c r="E12" s="235">
        <v>1</v>
      </c>
      <c r="F12" s="235">
        <v>2</v>
      </c>
      <c r="G12" s="235">
        <v>2</v>
      </c>
      <c r="H12" s="235" t="s">
        <v>9</v>
      </c>
      <c r="I12" s="235" t="s">
        <v>9</v>
      </c>
      <c r="J12" s="235" t="s">
        <v>9</v>
      </c>
      <c r="K12" s="235" t="s">
        <v>9</v>
      </c>
      <c r="L12" s="235" t="s">
        <v>9</v>
      </c>
      <c r="M12" s="235" t="s">
        <v>9</v>
      </c>
      <c r="N12" s="235" t="s">
        <v>9</v>
      </c>
      <c r="O12" s="235">
        <v>2</v>
      </c>
      <c r="P12" s="235">
        <v>2</v>
      </c>
      <c r="Q12" s="235" t="s">
        <v>9</v>
      </c>
    </row>
    <row r="13" spans="1:17" s="243" customFormat="1" ht="35.25" customHeight="1">
      <c r="A13" s="444"/>
      <c r="B13" s="241" t="s">
        <v>351</v>
      </c>
      <c r="C13" s="242">
        <f>IFERROR(C12/C$4*100,"-")</f>
        <v>0.40650406504065045</v>
      </c>
      <c r="D13" s="242">
        <f t="shared" ref="D13:Q13" si="4">IFERROR(D12/D$4*100,"-")</f>
        <v>0.31446540880503149</v>
      </c>
      <c r="E13" s="242">
        <f t="shared" si="4"/>
        <v>0.98039215686274506</v>
      </c>
      <c r="F13" s="242">
        <f t="shared" si="4"/>
        <v>0.42105263157894735</v>
      </c>
      <c r="G13" s="242">
        <f t="shared" si="4"/>
        <v>0.47619047619047622</v>
      </c>
      <c r="H13" s="242" t="str">
        <f t="shared" si="4"/>
        <v>-</v>
      </c>
      <c r="I13" s="242" t="str">
        <f t="shared" si="4"/>
        <v>-</v>
      </c>
      <c r="J13" s="242" t="str">
        <f t="shared" si="4"/>
        <v>-</v>
      </c>
      <c r="K13" s="242" t="str">
        <f t="shared" si="4"/>
        <v>-</v>
      </c>
      <c r="L13" s="242" t="str">
        <f t="shared" si="4"/>
        <v>-</v>
      </c>
      <c r="M13" s="242" t="str">
        <f t="shared" si="4"/>
        <v>-</v>
      </c>
      <c r="N13" s="242" t="str">
        <f t="shared" si="4"/>
        <v>-</v>
      </c>
      <c r="O13" s="242">
        <f t="shared" si="4"/>
        <v>0.55248618784530379</v>
      </c>
      <c r="P13" s="242">
        <f t="shared" si="4"/>
        <v>0.60422960725075525</v>
      </c>
      <c r="Q13" s="242" t="str">
        <f t="shared" si="4"/>
        <v>-</v>
      </c>
    </row>
    <row r="14" spans="1:17" s="240" customFormat="1" ht="35.25" customHeight="1">
      <c r="A14" s="444" t="s">
        <v>768</v>
      </c>
      <c r="B14" s="239" t="s">
        <v>766</v>
      </c>
      <c r="C14" s="235">
        <v>1</v>
      </c>
      <c r="D14" s="235">
        <v>1</v>
      </c>
      <c r="E14" s="235" t="s">
        <v>9</v>
      </c>
      <c r="F14" s="235" t="s">
        <v>9</v>
      </c>
      <c r="G14" s="235" t="s">
        <v>9</v>
      </c>
      <c r="H14" s="235" t="s">
        <v>9</v>
      </c>
      <c r="I14" s="235">
        <v>1</v>
      </c>
      <c r="J14" s="235">
        <v>1</v>
      </c>
      <c r="K14" s="235" t="s">
        <v>9</v>
      </c>
      <c r="L14" s="235" t="s">
        <v>9</v>
      </c>
      <c r="M14" s="235" t="s">
        <v>9</v>
      </c>
      <c r="N14" s="235" t="s">
        <v>9</v>
      </c>
      <c r="O14" s="235" t="s">
        <v>9</v>
      </c>
      <c r="P14" s="235" t="s">
        <v>9</v>
      </c>
      <c r="Q14" s="235" t="s">
        <v>9</v>
      </c>
    </row>
    <row r="15" spans="1:17" s="243" customFormat="1" ht="35.25" customHeight="1">
      <c r="A15" s="447"/>
      <c r="B15" s="244" t="s">
        <v>351</v>
      </c>
      <c r="C15" s="245">
        <f>IFERROR(C14/C$4*100,"-")</f>
        <v>0.13550135501355012</v>
      </c>
      <c r="D15" s="245">
        <f t="shared" ref="D15:Q15" si="5">IFERROR(D14/D$4*100,"-")</f>
        <v>0.15723270440251574</v>
      </c>
      <c r="E15" s="245" t="str">
        <f t="shared" si="5"/>
        <v>-</v>
      </c>
      <c r="F15" s="245" t="str">
        <f t="shared" si="5"/>
        <v>-</v>
      </c>
      <c r="G15" s="245" t="str">
        <f t="shared" si="5"/>
        <v>-</v>
      </c>
      <c r="H15" s="245" t="str">
        <f t="shared" si="5"/>
        <v>-</v>
      </c>
      <c r="I15" s="245">
        <f t="shared" si="5"/>
        <v>0.21141649048625794</v>
      </c>
      <c r="J15" s="245">
        <f t="shared" si="5"/>
        <v>0.24875621890547264</v>
      </c>
      <c r="K15" s="245" t="str">
        <f t="shared" si="5"/>
        <v>-</v>
      </c>
      <c r="L15" s="245" t="str">
        <f t="shared" si="5"/>
        <v>-</v>
      </c>
      <c r="M15" s="245" t="str">
        <f t="shared" si="5"/>
        <v>-</v>
      </c>
      <c r="N15" s="245" t="str">
        <f t="shared" si="5"/>
        <v>-</v>
      </c>
      <c r="O15" s="245" t="str">
        <f t="shared" si="5"/>
        <v>-</v>
      </c>
      <c r="P15" s="245" t="str">
        <f t="shared" si="5"/>
        <v>-</v>
      </c>
      <c r="Q15" s="245" t="str">
        <f t="shared" si="5"/>
        <v>-</v>
      </c>
    </row>
    <row r="16" spans="1:17" s="246" customFormat="1" ht="14.25">
      <c r="A16" s="248" t="s">
        <v>769</v>
      </c>
      <c r="B16" s="249"/>
      <c r="C16" s="250"/>
      <c r="D16" s="250"/>
      <c r="E16" s="250"/>
      <c r="F16" s="250"/>
      <c r="G16" s="250"/>
      <c r="H16" s="250"/>
      <c r="I16" s="250"/>
      <c r="J16" s="250"/>
      <c r="K16" s="250"/>
      <c r="L16" s="250"/>
      <c r="M16" s="250"/>
      <c r="N16" s="250"/>
    </row>
    <row r="17" spans="1:17" s="246" customFormat="1" ht="29.25" customHeight="1">
      <c r="A17" s="445" t="s">
        <v>770</v>
      </c>
      <c r="B17" s="445"/>
      <c r="C17" s="445"/>
      <c r="D17" s="445"/>
      <c r="E17" s="445"/>
      <c r="F17" s="445"/>
      <c r="G17" s="445"/>
      <c r="H17" s="445"/>
      <c r="I17" s="445"/>
      <c r="J17" s="445"/>
      <c r="K17" s="445"/>
      <c r="L17" s="445"/>
      <c r="M17" s="445"/>
      <c r="N17" s="445"/>
      <c r="O17" s="445"/>
      <c r="P17" s="445"/>
      <c r="Q17" s="445"/>
    </row>
    <row r="18" spans="1:17">
      <c r="B18" s="251"/>
      <c r="C18" s="252"/>
      <c r="D18" s="252"/>
      <c r="E18" s="252"/>
      <c r="F18" s="252"/>
      <c r="G18" s="252"/>
      <c r="H18" s="252"/>
      <c r="I18" s="252"/>
      <c r="J18" s="252"/>
      <c r="K18" s="252"/>
      <c r="L18" s="252"/>
      <c r="M18" s="252"/>
      <c r="N18" s="252"/>
    </row>
    <row r="19" spans="1:17">
      <c r="A19" s="253"/>
      <c r="B19" s="251"/>
      <c r="C19" s="254"/>
      <c r="D19" s="254"/>
      <c r="E19" s="254"/>
      <c r="F19" s="254"/>
      <c r="G19" s="254"/>
      <c r="H19" s="254"/>
      <c r="I19" s="254"/>
      <c r="J19" s="254"/>
      <c r="K19" s="254"/>
      <c r="L19" s="254"/>
      <c r="M19" s="254"/>
      <c r="N19" s="254"/>
    </row>
    <row r="20" spans="1:17">
      <c r="C20" s="252"/>
      <c r="D20" s="252"/>
      <c r="E20" s="252"/>
      <c r="F20" s="252"/>
      <c r="G20" s="252"/>
      <c r="H20" s="252"/>
      <c r="I20" s="252"/>
      <c r="J20" s="252"/>
      <c r="K20" s="252"/>
      <c r="L20" s="252"/>
      <c r="M20" s="252"/>
      <c r="N20" s="252"/>
    </row>
    <row r="21" spans="1:17">
      <c r="C21" s="254"/>
      <c r="D21" s="254"/>
      <c r="E21" s="254"/>
      <c r="F21" s="254"/>
      <c r="G21" s="254"/>
      <c r="H21" s="254"/>
      <c r="I21" s="254"/>
      <c r="J21" s="254"/>
      <c r="K21" s="254"/>
      <c r="L21" s="254"/>
      <c r="M21" s="254"/>
      <c r="N21" s="254"/>
    </row>
    <row r="22" spans="1:17">
      <c r="A22" s="253"/>
      <c r="C22" s="252"/>
      <c r="D22" s="252"/>
      <c r="E22" s="252"/>
      <c r="F22" s="252"/>
      <c r="G22" s="252"/>
      <c r="H22" s="252"/>
      <c r="I22" s="252"/>
      <c r="J22" s="252"/>
      <c r="K22" s="252"/>
      <c r="L22" s="252"/>
      <c r="M22" s="252"/>
      <c r="N22" s="252"/>
    </row>
    <row r="23" spans="1:17">
      <c r="C23" s="254"/>
      <c r="D23" s="254"/>
      <c r="E23" s="254"/>
      <c r="F23" s="254"/>
      <c r="G23" s="254"/>
      <c r="H23" s="254"/>
      <c r="I23" s="254"/>
      <c r="J23" s="254"/>
      <c r="K23" s="254"/>
      <c r="L23" s="254"/>
      <c r="M23" s="254"/>
      <c r="N23" s="254"/>
    </row>
  </sheetData>
  <mergeCells count="14">
    <mergeCell ref="A17:Q17"/>
    <mergeCell ref="A1:Q1"/>
    <mergeCell ref="A2:B3"/>
    <mergeCell ref="C2:E2"/>
    <mergeCell ref="F2:H2"/>
    <mergeCell ref="I2:K2"/>
    <mergeCell ref="L2:N2"/>
    <mergeCell ref="O2:Q2"/>
    <mergeCell ref="A4:A5"/>
    <mergeCell ref="A12:A13"/>
    <mergeCell ref="A14:A15"/>
    <mergeCell ref="A8:A9"/>
    <mergeCell ref="A6:A7"/>
    <mergeCell ref="A10:A11"/>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9"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BD28"/>
  <sheetViews>
    <sheetView showGridLines="0" zoomScale="74" zoomScaleNormal="90" workbookViewId="0">
      <pane xSplit="2" ySplit="2" topLeftCell="C3" activePane="bottomRight" state="frozen"/>
      <selection activeCell="F17" sqref="F17"/>
      <selection pane="topRight" activeCell="F17" sqref="F17"/>
      <selection pane="bottomLeft" activeCell="F17" sqref="F17"/>
      <selection pane="bottomRight" activeCell="F17" sqref="F17"/>
    </sheetView>
  </sheetViews>
  <sheetFormatPr defaultColWidth="8.875" defaultRowHeight="15.75"/>
  <cols>
    <col min="1" max="1" width="12.625" style="81" customWidth="1"/>
    <col min="2" max="2" width="5.125" style="81" customWidth="1"/>
    <col min="3" max="17" width="10" style="81" bestFit="1" customWidth="1"/>
    <col min="18" max="256" width="9" style="81"/>
    <col min="257" max="257" width="21.375" style="81" customWidth="1"/>
    <col min="258" max="258" width="6.375" style="81" customWidth="1"/>
    <col min="259" max="273" width="7.125" style="81" customWidth="1"/>
    <col min="274" max="512" width="9" style="81"/>
    <col min="513" max="513" width="21.375" style="81" customWidth="1"/>
    <col min="514" max="514" width="6.375" style="81" customWidth="1"/>
    <col min="515" max="529" width="7.125" style="81" customWidth="1"/>
    <col min="530" max="768" width="9" style="81"/>
    <col min="769" max="769" width="21.375" style="81" customWidth="1"/>
    <col min="770" max="770" width="6.375" style="81" customWidth="1"/>
    <col min="771" max="785" width="7.125" style="81" customWidth="1"/>
    <col min="786" max="1024" width="9" style="81"/>
    <col min="1025" max="1025" width="21.375" style="81" customWidth="1"/>
    <col min="1026" max="1026" width="6.375" style="81" customWidth="1"/>
    <col min="1027" max="1041" width="7.125" style="81" customWidth="1"/>
    <col min="1042" max="1280" width="9" style="81"/>
    <col min="1281" max="1281" width="21.375" style="81" customWidth="1"/>
    <col min="1282" max="1282" width="6.375" style="81" customWidth="1"/>
    <col min="1283" max="1297" width="7.125" style="81" customWidth="1"/>
    <col min="1298" max="1536" width="9" style="81"/>
    <col min="1537" max="1537" width="21.375" style="81" customWidth="1"/>
    <col min="1538" max="1538" width="6.375" style="81" customWidth="1"/>
    <col min="1539" max="1553" width="7.125" style="81" customWidth="1"/>
    <col min="1554" max="1792" width="9" style="81"/>
    <col min="1793" max="1793" width="21.375" style="81" customWidth="1"/>
    <col min="1794" max="1794" width="6.375" style="81" customWidth="1"/>
    <col min="1795" max="1809" width="7.125" style="81" customWidth="1"/>
    <col min="1810" max="2048" width="9" style="81"/>
    <col min="2049" max="2049" width="21.375" style="81" customWidth="1"/>
    <col min="2050" max="2050" width="6.375" style="81" customWidth="1"/>
    <col min="2051" max="2065" width="7.125" style="81" customWidth="1"/>
    <col min="2066" max="2304" width="9" style="81"/>
    <col min="2305" max="2305" width="21.375" style="81" customWidth="1"/>
    <col min="2306" max="2306" width="6.375" style="81" customWidth="1"/>
    <col min="2307" max="2321" width="7.125" style="81" customWidth="1"/>
    <col min="2322" max="2560" width="9" style="81"/>
    <col min="2561" max="2561" width="21.375" style="81" customWidth="1"/>
    <col min="2562" max="2562" width="6.375" style="81" customWidth="1"/>
    <col min="2563" max="2577" width="7.125" style="81" customWidth="1"/>
    <col min="2578" max="2816" width="9" style="81"/>
    <col min="2817" max="2817" width="21.375" style="81" customWidth="1"/>
    <col min="2818" max="2818" width="6.375" style="81" customWidth="1"/>
    <col min="2819" max="2833" width="7.125" style="81" customWidth="1"/>
    <col min="2834" max="3072" width="9" style="81"/>
    <col min="3073" max="3073" width="21.375" style="81" customWidth="1"/>
    <col min="3074" max="3074" width="6.375" style="81" customWidth="1"/>
    <col min="3075" max="3089" width="7.125" style="81" customWidth="1"/>
    <col min="3090" max="3328" width="9" style="81"/>
    <col min="3329" max="3329" width="21.375" style="81" customWidth="1"/>
    <col min="3330" max="3330" width="6.375" style="81" customWidth="1"/>
    <col min="3331" max="3345" width="7.125" style="81" customWidth="1"/>
    <col min="3346" max="3584" width="9" style="81"/>
    <col min="3585" max="3585" width="21.375" style="81" customWidth="1"/>
    <col min="3586" max="3586" width="6.375" style="81" customWidth="1"/>
    <col min="3587" max="3601" width="7.125" style="81" customWidth="1"/>
    <col min="3602" max="3840" width="9" style="81"/>
    <col min="3841" max="3841" width="21.375" style="81" customWidth="1"/>
    <col min="3842" max="3842" width="6.375" style="81" customWidth="1"/>
    <col min="3843" max="3857" width="7.125" style="81" customWidth="1"/>
    <col min="3858" max="4096" width="9" style="81"/>
    <col min="4097" max="4097" width="21.375" style="81" customWidth="1"/>
    <col min="4098" max="4098" width="6.375" style="81" customWidth="1"/>
    <col min="4099" max="4113" width="7.125" style="81" customWidth="1"/>
    <col min="4114" max="4352" width="9" style="81"/>
    <col min="4353" max="4353" width="21.375" style="81" customWidth="1"/>
    <col min="4354" max="4354" width="6.375" style="81" customWidth="1"/>
    <col min="4355" max="4369" width="7.125" style="81" customWidth="1"/>
    <col min="4370" max="4608" width="9" style="81"/>
    <col min="4609" max="4609" width="21.375" style="81" customWidth="1"/>
    <col min="4610" max="4610" width="6.375" style="81" customWidth="1"/>
    <col min="4611" max="4625" width="7.125" style="81" customWidth="1"/>
    <col min="4626" max="4864" width="9" style="81"/>
    <col min="4865" max="4865" width="21.375" style="81" customWidth="1"/>
    <col min="4866" max="4866" width="6.375" style="81" customWidth="1"/>
    <col min="4867" max="4881" width="7.125" style="81" customWidth="1"/>
    <col min="4882" max="5120" width="9" style="81"/>
    <col min="5121" max="5121" width="21.375" style="81" customWidth="1"/>
    <col min="5122" max="5122" width="6.375" style="81" customWidth="1"/>
    <col min="5123" max="5137" width="7.125" style="81" customWidth="1"/>
    <col min="5138" max="5376" width="9" style="81"/>
    <col min="5377" max="5377" width="21.375" style="81" customWidth="1"/>
    <col min="5378" max="5378" width="6.375" style="81" customWidth="1"/>
    <col min="5379" max="5393" width="7.125" style="81" customWidth="1"/>
    <col min="5394" max="5632" width="9" style="81"/>
    <col min="5633" max="5633" width="21.375" style="81" customWidth="1"/>
    <col min="5634" max="5634" width="6.375" style="81" customWidth="1"/>
    <col min="5635" max="5649" width="7.125" style="81" customWidth="1"/>
    <col min="5650" max="5888" width="9" style="81"/>
    <col min="5889" max="5889" width="21.375" style="81" customWidth="1"/>
    <col min="5890" max="5890" width="6.375" style="81" customWidth="1"/>
    <col min="5891" max="5905" width="7.125" style="81" customWidth="1"/>
    <col min="5906" max="6144" width="9" style="81"/>
    <col min="6145" max="6145" width="21.375" style="81" customWidth="1"/>
    <col min="6146" max="6146" width="6.375" style="81" customWidth="1"/>
    <col min="6147" max="6161" width="7.125" style="81" customWidth="1"/>
    <col min="6162" max="6400" width="9" style="81"/>
    <col min="6401" max="6401" width="21.375" style="81" customWidth="1"/>
    <col min="6402" max="6402" width="6.375" style="81" customWidth="1"/>
    <col min="6403" max="6417" width="7.125" style="81" customWidth="1"/>
    <col min="6418" max="6656" width="9" style="81"/>
    <col min="6657" max="6657" width="21.375" style="81" customWidth="1"/>
    <col min="6658" max="6658" width="6.375" style="81" customWidth="1"/>
    <col min="6659" max="6673" width="7.125" style="81" customWidth="1"/>
    <col min="6674" max="6912" width="9" style="81"/>
    <col min="6913" max="6913" width="21.375" style="81" customWidth="1"/>
    <col min="6914" max="6914" width="6.375" style="81" customWidth="1"/>
    <col min="6915" max="6929" width="7.125" style="81" customWidth="1"/>
    <col min="6930" max="7168" width="9" style="81"/>
    <col min="7169" max="7169" width="21.375" style="81" customWidth="1"/>
    <col min="7170" max="7170" width="6.375" style="81" customWidth="1"/>
    <col min="7171" max="7185" width="7.125" style="81" customWidth="1"/>
    <col min="7186" max="7424" width="9" style="81"/>
    <col min="7425" max="7425" width="21.375" style="81" customWidth="1"/>
    <col min="7426" max="7426" width="6.375" style="81" customWidth="1"/>
    <col min="7427" max="7441" width="7.125" style="81" customWidth="1"/>
    <col min="7442" max="7680" width="9" style="81"/>
    <col min="7681" max="7681" width="21.375" style="81" customWidth="1"/>
    <col min="7682" max="7682" width="6.375" style="81" customWidth="1"/>
    <col min="7683" max="7697" width="7.125" style="81" customWidth="1"/>
    <col min="7698" max="7936" width="9" style="81"/>
    <col min="7937" max="7937" width="21.375" style="81" customWidth="1"/>
    <col min="7938" max="7938" width="6.375" style="81" customWidth="1"/>
    <col min="7939" max="7953" width="7.125" style="81" customWidth="1"/>
    <col min="7954" max="8192" width="9" style="81"/>
    <col min="8193" max="8193" width="21.375" style="81" customWidth="1"/>
    <col min="8194" max="8194" width="6.375" style="81" customWidth="1"/>
    <col min="8195" max="8209" width="7.125" style="81" customWidth="1"/>
    <col min="8210" max="8448" width="9" style="81"/>
    <col min="8449" max="8449" width="21.375" style="81" customWidth="1"/>
    <col min="8450" max="8450" width="6.375" style="81" customWidth="1"/>
    <col min="8451" max="8465" width="7.125" style="81" customWidth="1"/>
    <col min="8466" max="8704" width="9" style="81"/>
    <col min="8705" max="8705" width="21.375" style="81" customWidth="1"/>
    <col min="8706" max="8706" width="6.375" style="81" customWidth="1"/>
    <col min="8707" max="8721" width="7.125" style="81" customWidth="1"/>
    <col min="8722" max="8960" width="9" style="81"/>
    <col min="8961" max="8961" width="21.375" style="81" customWidth="1"/>
    <col min="8962" max="8962" width="6.375" style="81" customWidth="1"/>
    <col min="8963" max="8977" width="7.125" style="81" customWidth="1"/>
    <col min="8978" max="9216" width="9" style="81"/>
    <col min="9217" max="9217" width="21.375" style="81" customWidth="1"/>
    <col min="9218" max="9218" width="6.375" style="81" customWidth="1"/>
    <col min="9219" max="9233" width="7.125" style="81" customWidth="1"/>
    <col min="9234" max="9472" width="9" style="81"/>
    <col min="9473" max="9473" width="21.375" style="81" customWidth="1"/>
    <col min="9474" max="9474" width="6.375" style="81" customWidth="1"/>
    <col min="9475" max="9489" width="7.125" style="81" customWidth="1"/>
    <col min="9490" max="9728" width="9" style="81"/>
    <col min="9729" max="9729" width="21.375" style="81" customWidth="1"/>
    <col min="9730" max="9730" width="6.375" style="81" customWidth="1"/>
    <col min="9731" max="9745" width="7.125" style="81" customWidth="1"/>
    <col min="9746" max="9984" width="9" style="81"/>
    <col min="9985" max="9985" width="21.375" style="81" customWidth="1"/>
    <col min="9986" max="9986" width="6.375" style="81" customWidth="1"/>
    <col min="9987" max="10001" width="7.125" style="81" customWidth="1"/>
    <col min="10002" max="10240" width="9" style="81"/>
    <col min="10241" max="10241" width="21.375" style="81" customWidth="1"/>
    <col min="10242" max="10242" width="6.375" style="81" customWidth="1"/>
    <col min="10243" max="10257" width="7.125" style="81" customWidth="1"/>
    <col min="10258" max="10496" width="9" style="81"/>
    <col min="10497" max="10497" width="21.375" style="81" customWidth="1"/>
    <col min="10498" max="10498" width="6.375" style="81" customWidth="1"/>
    <col min="10499" max="10513" width="7.125" style="81" customWidth="1"/>
    <col min="10514" max="10752" width="9" style="81"/>
    <col min="10753" max="10753" width="21.375" style="81" customWidth="1"/>
    <col min="10754" max="10754" width="6.375" style="81" customWidth="1"/>
    <col min="10755" max="10769" width="7.125" style="81" customWidth="1"/>
    <col min="10770" max="11008" width="9" style="81"/>
    <col min="11009" max="11009" width="21.375" style="81" customWidth="1"/>
    <col min="11010" max="11010" width="6.375" style="81" customWidth="1"/>
    <col min="11011" max="11025" width="7.125" style="81" customWidth="1"/>
    <col min="11026" max="11264" width="9" style="81"/>
    <col min="11265" max="11265" width="21.375" style="81" customWidth="1"/>
    <col min="11266" max="11266" width="6.375" style="81" customWidth="1"/>
    <col min="11267" max="11281" width="7.125" style="81" customWidth="1"/>
    <col min="11282" max="11520" width="9" style="81"/>
    <col min="11521" max="11521" width="21.375" style="81" customWidth="1"/>
    <col min="11522" max="11522" width="6.375" style="81" customWidth="1"/>
    <col min="11523" max="11537" width="7.125" style="81" customWidth="1"/>
    <col min="11538" max="11776" width="9" style="81"/>
    <col min="11777" max="11777" width="21.375" style="81" customWidth="1"/>
    <col min="11778" max="11778" width="6.375" style="81" customWidth="1"/>
    <col min="11779" max="11793" width="7.125" style="81" customWidth="1"/>
    <col min="11794" max="12032" width="9" style="81"/>
    <col min="12033" max="12033" width="21.375" style="81" customWidth="1"/>
    <col min="12034" max="12034" width="6.375" style="81" customWidth="1"/>
    <col min="12035" max="12049" width="7.125" style="81" customWidth="1"/>
    <col min="12050" max="12288" width="9" style="81"/>
    <col min="12289" max="12289" width="21.375" style="81" customWidth="1"/>
    <col min="12290" max="12290" width="6.375" style="81" customWidth="1"/>
    <col min="12291" max="12305" width="7.125" style="81" customWidth="1"/>
    <col min="12306" max="12544" width="9" style="81"/>
    <col min="12545" max="12545" width="21.375" style="81" customWidth="1"/>
    <col min="12546" max="12546" width="6.375" style="81" customWidth="1"/>
    <col min="12547" max="12561" width="7.125" style="81" customWidth="1"/>
    <col min="12562" max="12800" width="9" style="81"/>
    <col min="12801" max="12801" width="21.375" style="81" customWidth="1"/>
    <col min="12802" max="12802" width="6.375" style="81" customWidth="1"/>
    <col min="12803" max="12817" width="7.125" style="81" customWidth="1"/>
    <col min="12818" max="13056" width="9" style="81"/>
    <col min="13057" max="13057" width="21.375" style="81" customWidth="1"/>
    <col min="13058" max="13058" width="6.375" style="81" customWidth="1"/>
    <col min="13059" max="13073" width="7.125" style="81" customWidth="1"/>
    <col min="13074" max="13312" width="9" style="81"/>
    <col min="13313" max="13313" width="21.375" style="81" customWidth="1"/>
    <col min="13314" max="13314" width="6.375" style="81" customWidth="1"/>
    <col min="13315" max="13329" width="7.125" style="81" customWidth="1"/>
    <col min="13330" max="13568" width="9" style="81"/>
    <col min="13569" max="13569" width="21.375" style="81" customWidth="1"/>
    <col min="13570" max="13570" width="6.375" style="81" customWidth="1"/>
    <col min="13571" max="13585" width="7.125" style="81" customWidth="1"/>
    <col min="13586" max="13824" width="9" style="81"/>
    <col min="13825" max="13825" width="21.375" style="81" customWidth="1"/>
    <col min="13826" max="13826" width="6.375" style="81" customWidth="1"/>
    <col min="13827" max="13841" width="7.125" style="81" customWidth="1"/>
    <col min="13842" max="14080" width="9" style="81"/>
    <col min="14081" max="14081" width="21.375" style="81" customWidth="1"/>
    <col min="14082" max="14082" width="6.375" style="81" customWidth="1"/>
    <col min="14083" max="14097" width="7.125" style="81" customWidth="1"/>
    <col min="14098" max="14336" width="9" style="81"/>
    <col min="14337" max="14337" width="21.375" style="81" customWidth="1"/>
    <col min="14338" max="14338" width="6.375" style="81" customWidth="1"/>
    <col min="14339" max="14353" width="7.125" style="81" customWidth="1"/>
    <col min="14354" max="14592" width="9" style="81"/>
    <col min="14593" max="14593" width="21.375" style="81" customWidth="1"/>
    <col min="14594" max="14594" width="6.375" style="81" customWidth="1"/>
    <col min="14595" max="14609" width="7.125" style="81" customWidth="1"/>
    <col min="14610" max="14848" width="9" style="81"/>
    <col min="14849" max="14849" width="21.375" style="81" customWidth="1"/>
    <col min="14850" max="14850" width="6.375" style="81" customWidth="1"/>
    <col min="14851" max="14865" width="7.125" style="81" customWidth="1"/>
    <col min="14866" max="15104" width="9" style="81"/>
    <col min="15105" max="15105" width="21.375" style="81" customWidth="1"/>
    <col min="15106" max="15106" width="6.375" style="81" customWidth="1"/>
    <col min="15107" max="15121" width="7.125" style="81" customWidth="1"/>
    <col min="15122" max="15360" width="9" style="81"/>
    <col min="15361" max="15361" width="21.375" style="81" customWidth="1"/>
    <col min="15362" max="15362" width="6.375" style="81" customWidth="1"/>
    <col min="15363" max="15377" width="7.125" style="81" customWidth="1"/>
    <col min="15378" max="15616" width="9" style="81"/>
    <col min="15617" max="15617" width="21.375" style="81" customWidth="1"/>
    <col min="15618" max="15618" width="6.375" style="81" customWidth="1"/>
    <col min="15619" max="15633" width="7.125" style="81" customWidth="1"/>
    <col min="15634" max="15872" width="9" style="81"/>
    <col min="15873" max="15873" width="21.375" style="81" customWidth="1"/>
    <col min="15874" max="15874" width="6.375" style="81" customWidth="1"/>
    <col min="15875" max="15889" width="7.125" style="81" customWidth="1"/>
    <col min="15890" max="16128" width="9" style="81"/>
    <col min="16129" max="16129" width="21.375" style="81" customWidth="1"/>
    <col min="16130" max="16130" width="6.375" style="81" customWidth="1"/>
    <col min="16131" max="16145" width="7.125" style="81" customWidth="1"/>
    <col min="16146" max="16384" width="9" style="81"/>
  </cols>
  <sheetData>
    <row r="1" spans="1:56" s="80" customFormat="1" ht="30" customHeight="1">
      <c r="A1" s="437" t="s">
        <v>665</v>
      </c>
      <c r="B1" s="437"/>
      <c r="C1" s="437"/>
      <c r="D1" s="437"/>
      <c r="E1" s="437"/>
      <c r="F1" s="437"/>
      <c r="G1" s="437"/>
      <c r="H1" s="437"/>
      <c r="I1" s="437"/>
      <c r="J1" s="437"/>
      <c r="K1" s="437"/>
      <c r="L1" s="437"/>
      <c r="M1" s="437"/>
      <c r="N1" s="437"/>
      <c r="O1" s="438"/>
      <c r="P1" s="438"/>
      <c r="Q1" s="438"/>
    </row>
    <row r="2" spans="1:56" ht="30" customHeight="1">
      <c r="A2" s="419"/>
      <c r="B2" s="419"/>
      <c r="C2" s="421" t="s">
        <v>771</v>
      </c>
      <c r="D2" s="421"/>
      <c r="E2" s="421"/>
      <c r="F2" s="421" t="s">
        <v>772</v>
      </c>
      <c r="G2" s="421"/>
      <c r="H2" s="421"/>
      <c r="I2" s="421" t="s">
        <v>773</v>
      </c>
      <c r="J2" s="421"/>
      <c r="K2" s="421"/>
      <c r="L2" s="421" t="s">
        <v>774</v>
      </c>
      <c r="M2" s="421"/>
      <c r="N2" s="421"/>
      <c r="O2" s="421" t="s">
        <v>775</v>
      </c>
      <c r="P2" s="421"/>
      <c r="Q2" s="421"/>
    </row>
    <row r="3" spans="1:56" ht="30" customHeight="1">
      <c r="A3" s="420"/>
      <c r="B3" s="420"/>
      <c r="C3" s="188" t="s">
        <v>667</v>
      </c>
      <c r="D3" s="188" t="s">
        <v>669</v>
      </c>
      <c r="E3" s="188" t="s">
        <v>776</v>
      </c>
      <c r="F3" s="188" t="s">
        <v>777</v>
      </c>
      <c r="G3" s="188" t="s">
        <v>778</v>
      </c>
      <c r="H3" s="188" t="s">
        <v>668</v>
      </c>
      <c r="I3" s="188" t="s">
        <v>667</v>
      </c>
      <c r="J3" s="188" t="s">
        <v>669</v>
      </c>
      <c r="K3" s="188" t="s">
        <v>668</v>
      </c>
      <c r="L3" s="188" t="s">
        <v>777</v>
      </c>
      <c r="M3" s="188" t="s">
        <v>669</v>
      </c>
      <c r="N3" s="188" t="s">
        <v>668</v>
      </c>
      <c r="O3" s="188" t="s">
        <v>780</v>
      </c>
      <c r="P3" s="188" t="s">
        <v>779</v>
      </c>
      <c r="Q3" s="188" t="s">
        <v>781</v>
      </c>
    </row>
    <row r="4" spans="1:56" ht="42" customHeight="1">
      <c r="A4" s="420" t="s">
        <v>671</v>
      </c>
      <c r="B4" s="187" t="s">
        <v>782</v>
      </c>
      <c r="C4" s="141">
        <f t="shared" ref="C4:Q5" si="0">SUM(C8,C6,C10)</f>
        <v>738</v>
      </c>
      <c r="D4" s="141">
        <f t="shared" si="0"/>
        <v>636</v>
      </c>
      <c r="E4" s="141">
        <f t="shared" si="0"/>
        <v>102</v>
      </c>
      <c r="F4" s="141">
        <f t="shared" si="0"/>
        <v>475</v>
      </c>
      <c r="G4" s="141">
        <f t="shared" si="0"/>
        <v>420</v>
      </c>
      <c r="H4" s="141">
        <f t="shared" si="0"/>
        <v>55</v>
      </c>
      <c r="I4" s="141">
        <f t="shared" si="0"/>
        <v>473</v>
      </c>
      <c r="J4" s="141">
        <f t="shared" si="0"/>
        <v>402</v>
      </c>
      <c r="K4" s="141">
        <f t="shared" si="0"/>
        <v>71</v>
      </c>
      <c r="L4" s="141">
        <f t="shared" si="0"/>
        <v>475</v>
      </c>
      <c r="M4" s="141">
        <f t="shared" si="0"/>
        <v>430</v>
      </c>
      <c r="N4" s="142">
        <f t="shared" si="0"/>
        <v>45</v>
      </c>
      <c r="O4" s="141">
        <f t="shared" si="0"/>
        <v>362</v>
      </c>
      <c r="P4" s="141">
        <f t="shared" si="0"/>
        <v>331</v>
      </c>
      <c r="Q4" s="142">
        <f t="shared" si="0"/>
        <v>31</v>
      </c>
    </row>
    <row r="5" spans="1:56" ht="42" customHeight="1">
      <c r="A5" s="420"/>
      <c r="B5" s="187" t="s">
        <v>351</v>
      </c>
      <c r="C5" s="143">
        <f t="shared" si="0"/>
        <v>100.00000000000001</v>
      </c>
      <c r="D5" s="143">
        <f t="shared" si="0"/>
        <v>100</v>
      </c>
      <c r="E5" s="143">
        <f t="shared" si="0"/>
        <v>100.00000000000001</v>
      </c>
      <c r="F5" s="143">
        <f t="shared" si="0"/>
        <v>100</v>
      </c>
      <c r="G5" s="143">
        <f t="shared" si="0"/>
        <v>100</v>
      </c>
      <c r="H5" s="143">
        <f t="shared" si="0"/>
        <v>100</v>
      </c>
      <c r="I5" s="143">
        <f t="shared" si="0"/>
        <v>100</v>
      </c>
      <c r="J5" s="143">
        <f t="shared" si="0"/>
        <v>100</v>
      </c>
      <c r="K5" s="143">
        <f t="shared" si="0"/>
        <v>100</v>
      </c>
      <c r="L5" s="143">
        <f t="shared" si="0"/>
        <v>100</v>
      </c>
      <c r="M5" s="143">
        <f t="shared" si="0"/>
        <v>100.00000000000001</v>
      </c>
      <c r="N5" s="143">
        <f t="shared" si="0"/>
        <v>99.999999999999986</v>
      </c>
      <c r="O5" s="143">
        <f t="shared" si="0"/>
        <v>100</v>
      </c>
      <c r="P5" s="143">
        <f t="shared" si="0"/>
        <v>99.999999999999986</v>
      </c>
      <c r="Q5" s="143">
        <f t="shared" si="0"/>
        <v>100</v>
      </c>
    </row>
    <row r="6" spans="1:56" ht="54.6" customHeight="1">
      <c r="A6" s="420" t="s">
        <v>783</v>
      </c>
      <c r="B6" s="187" t="s">
        <v>672</v>
      </c>
      <c r="C6" s="141">
        <v>563</v>
      </c>
      <c r="D6" s="141">
        <v>491</v>
      </c>
      <c r="E6" s="141">
        <v>72</v>
      </c>
      <c r="F6" s="141">
        <v>399</v>
      </c>
      <c r="G6" s="141">
        <v>360</v>
      </c>
      <c r="H6" s="141">
        <v>39</v>
      </c>
      <c r="I6" s="141">
        <v>376</v>
      </c>
      <c r="J6" s="141">
        <v>322</v>
      </c>
      <c r="K6" s="141">
        <v>54</v>
      </c>
      <c r="L6" s="141">
        <v>368</v>
      </c>
      <c r="M6" s="141">
        <v>338</v>
      </c>
      <c r="N6" s="141">
        <v>30</v>
      </c>
      <c r="O6" s="141">
        <v>278</v>
      </c>
      <c r="P6" s="141">
        <v>262</v>
      </c>
      <c r="Q6" s="141">
        <v>16</v>
      </c>
    </row>
    <row r="7" spans="1:56" ht="48.6" customHeight="1">
      <c r="A7" s="420"/>
      <c r="B7" s="187" t="s">
        <v>351</v>
      </c>
      <c r="C7" s="143">
        <f>IFERROR(C6/C$4*100,"-")</f>
        <v>76.28726287262873</v>
      </c>
      <c r="D7" s="143">
        <f t="shared" ref="D7:Q7" si="1">IFERROR(D6/D$4*100,"-")</f>
        <v>77.201257861635213</v>
      </c>
      <c r="E7" s="143">
        <f t="shared" si="1"/>
        <v>70.588235294117652</v>
      </c>
      <c r="F7" s="143">
        <f t="shared" si="1"/>
        <v>84</v>
      </c>
      <c r="G7" s="143">
        <f t="shared" si="1"/>
        <v>85.714285714285708</v>
      </c>
      <c r="H7" s="143">
        <f t="shared" si="1"/>
        <v>70.909090909090907</v>
      </c>
      <c r="I7" s="143">
        <f t="shared" si="1"/>
        <v>79.492600422832979</v>
      </c>
      <c r="J7" s="143">
        <f t="shared" si="1"/>
        <v>80.099502487562191</v>
      </c>
      <c r="K7" s="143">
        <f t="shared" si="1"/>
        <v>76.056338028169009</v>
      </c>
      <c r="L7" s="143">
        <f t="shared" si="1"/>
        <v>77.473684210526315</v>
      </c>
      <c r="M7" s="143">
        <f t="shared" si="1"/>
        <v>78.604651162790702</v>
      </c>
      <c r="N7" s="143">
        <f t="shared" si="1"/>
        <v>66.666666666666657</v>
      </c>
      <c r="O7" s="143">
        <f t="shared" si="1"/>
        <v>76.795580110497241</v>
      </c>
      <c r="P7" s="143">
        <f t="shared" si="1"/>
        <v>79.154078549848933</v>
      </c>
      <c r="Q7" s="143">
        <f t="shared" si="1"/>
        <v>51.612903225806448</v>
      </c>
    </row>
    <row r="8" spans="1:56" ht="42" customHeight="1">
      <c r="A8" s="420" t="s">
        <v>784</v>
      </c>
      <c r="B8" s="187" t="s">
        <v>672</v>
      </c>
      <c r="C8" s="141">
        <v>161</v>
      </c>
      <c r="D8" s="141">
        <v>132</v>
      </c>
      <c r="E8" s="141">
        <v>29</v>
      </c>
      <c r="F8" s="141">
        <v>72</v>
      </c>
      <c r="G8" s="141">
        <v>58</v>
      </c>
      <c r="H8" s="141">
        <v>14</v>
      </c>
      <c r="I8" s="141">
        <v>90</v>
      </c>
      <c r="J8" s="141">
        <v>73</v>
      </c>
      <c r="K8" s="141">
        <v>17</v>
      </c>
      <c r="L8" s="141">
        <v>102</v>
      </c>
      <c r="M8" s="141">
        <v>87</v>
      </c>
      <c r="N8" s="141">
        <v>15</v>
      </c>
      <c r="O8" s="141">
        <v>78</v>
      </c>
      <c r="P8" s="141">
        <v>63</v>
      </c>
      <c r="Q8" s="141">
        <v>15</v>
      </c>
    </row>
    <row r="9" spans="1:56" ht="51.6" customHeight="1">
      <c r="A9" s="420"/>
      <c r="B9" s="187" t="s">
        <v>351</v>
      </c>
      <c r="C9" s="143">
        <f>IFERROR(C8/C$4*100,"-")</f>
        <v>21.815718157181571</v>
      </c>
      <c r="D9" s="143">
        <f t="shared" ref="D9:Q9" si="2">IFERROR(D8/D$4*100,"-")</f>
        <v>20.754716981132077</v>
      </c>
      <c r="E9" s="143">
        <f t="shared" si="2"/>
        <v>28.431372549019606</v>
      </c>
      <c r="F9" s="143">
        <f t="shared" si="2"/>
        <v>15.157894736842106</v>
      </c>
      <c r="G9" s="143">
        <f t="shared" si="2"/>
        <v>13.80952380952381</v>
      </c>
      <c r="H9" s="143">
        <f t="shared" si="2"/>
        <v>25.454545454545453</v>
      </c>
      <c r="I9" s="143">
        <f t="shared" si="2"/>
        <v>19.027484143763214</v>
      </c>
      <c r="J9" s="143">
        <f t="shared" si="2"/>
        <v>18.159203980099502</v>
      </c>
      <c r="K9" s="143">
        <f t="shared" si="2"/>
        <v>23.943661971830984</v>
      </c>
      <c r="L9" s="143">
        <f t="shared" si="2"/>
        <v>21.473684210526319</v>
      </c>
      <c r="M9" s="143">
        <f t="shared" si="2"/>
        <v>20.232558139534884</v>
      </c>
      <c r="N9" s="143">
        <f t="shared" si="2"/>
        <v>33.333333333333329</v>
      </c>
      <c r="O9" s="143">
        <f t="shared" si="2"/>
        <v>21.546961325966851</v>
      </c>
      <c r="P9" s="143">
        <f t="shared" si="2"/>
        <v>19.033232628398792</v>
      </c>
      <c r="Q9" s="143">
        <f t="shared" si="2"/>
        <v>48.387096774193552</v>
      </c>
    </row>
    <row r="10" spans="1:56" ht="42" customHeight="1">
      <c r="A10" s="420" t="s">
        <v>785</v>
      </c>
      <c r="B10" s="187" t="s">
        <v>782</v>
      </c>
      <c r="C10" s="141">
        <v>14</v>
      </c>
      <c r="D10" s="141">
        <v>13</v>
      </c>
      <c r="E10" s="141">
        <v>1</v>
      </c>
      <c r="F10" s="141">
        <v>4</v>
      </c>
      <c r="G10" s="141">
        <v>2</v>
      </c>
      <c r="H10" s="141">
        <v>2</v>
      </c>
      <c r="I10" s="141">
        <v>7</v>
      </c>
      <c r="J10" s="141">
        <v>7</v>
      </c>
      <c r="K10" s="141" t="s">
        <v>9</v>
      </c>
      <c r="L10" s="141">
        <v>5</v>
      </c>
      <c r="M10" s="141">
        <v>5</v>
      </c>
      <c r="N10" s="141" t="s">
        <v>9</v>
      </c>
      <c r="O10" s="141">
        <v>6</v>
      </c>
      <c r="P10" s="141">
        <v>6</v>
      </c>
      <c r="Q10" s="141" t="s">
        <v>9</v>
      </c>
    </row>
    <row r="11" spans="1:56" ht="42" customHeight="1">
      <c r="A11" s="422"/>
      <c r="B11" s="188" t="s">
        <v>351</v>
      </c>
      <c r="C11" s="144">
        <f>IFERROR(C10/C$4*100,"-")</f>
        <v>1.8970189701897018</v>
      </c>
      <c r="D11" s="144">
        <f t="shared" ref="D11:Q11" si="3">IFERROR(D10/D$4*100,"-")</f>
        <v>2.0440251572327042</v>
      </c>
      <c r="E11" s="144">
        <f t="shared" si="3"/>
        <v>0.98039215686274506</v>
      </c>
      <c r="F11" s="144">
        <f t="shared" si="3"/>
        <v>0.84210526315789469</v>
      </c>
      <c r="G11" s="144">
        <f t="shared" si="3"/>
        <v>0.47619047619047622</v>
      </c>
      <c r="H11" s="144">
        <f t="shared" si="3"/>
        <v>3.6363636363636362</v>
      </c>
      <c r="I11" s="144">
        <f t="shared" si="3"/>
        <v>1.4799154334038054</v>
      </c>
      <c r="J11" s="144">
        <f t="shared" si="3"/>
        <v>1.7412935323383085</v>
      </c>
      <c r="K11" s="144" t="str">
        <f t="shared" si="3"/>
        <v>-</v>
      </c>
      <c r="L11" s="144">
        <f t="shared" si="3"/>
        <v>1.0526315789473684</v>
      </c>
      <c r="M11" s="144">
        <f t="shared" si="3"/>
        <v>1.1627906976744187</v>
      </c>
      <c r="N11" s="144" t="str">
        <f t="shared" si="3"/>
        <v>-</v>
      </c>
      <c r="O11" s="144">
        <f t="shared" si="3"/>
        <v>1.6574585635359116</v>
      </c>
      <c r="P11" s="144">
        <f t="shared" si="3"/>
        <v>1.8126888217522661</v>
      </c>
      <c r="Q11" s="144" t="str">
        <f t="shared" si="3"/>
        <v>-</v>
      </c>
    </row>
    <row r="12" spans="1:56" s="82" customFormat="1" ht="12.75">
      <c r="A12" s="82" t="s">
        <v>433</v>
      </c>
      <c r="B12" s="100"/>
      <c r="C12" s="97"/>
      <c r="D12" s="97"/>
      <c r="E12" s="97"/>
    </row>
    <row r="13" spans="1:56" ht="33.75" customHeight="1">
      <c r="A13" s="453" t="s">
        <v>786</v>
      </c>
      <c r="B13" s="454"/>
      <c r="C13" s="454"/>
      <c r="D13" s="454"/>
      <c r="E13" s="454"/>
      <c r="F13" s="454"/>
      <c r="G13" s="454"/>
      <c r="H13" s="454"/>
      <c r="I13" s="454"/>
      <c r="J13" s="454"/>
      <c r="K13" s="454"/>
      <c r="L13" s="454"/>
      <c r="M13" s="454"/>
      <c r="N13" s="454"/>
      <c r="O13" s="454"/>
      <c r="P13" s="454"/>
      <c r="Q13" s="454"/>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row>
    <row r="14" spans="1:56">
      <c r="B14" s="102"/>
      <c r="C14" s="98"/>
      <c r="D14" s="98"/>
      <c r="E14" s="98"/>
    </row>
    <row r="15" spans="1:56">
      <c r="A15" s="191"/>
      <c r="B15" s="102"/>
      <c r="C15" s="99"/>
      <c r="D15" s="99"/>
      <c r="E15" s="99"/>
    </row>
    <row r="16" spans="1:56">
      <c r="B16" s="103"/>
    </row>
    <row r="17" spans="1:2">
      <c r="B17" s="102"/>
    </row>
    <row r="18" spans="1:2">
      <c r="A18" s="191"/>
      <c r="B18" s="102"/>
    </row>
    <row r="19" spans="1:2">
      <c r="B19" s="103"/>
    </row>
    <row r="20" spans="1:2">
      <c r="B20" s="102"/>
    </row>
    <row r="21" spans="1:2">
      <c r="A21" s="191"/>
      <c r="B21" s="102"/>
    </row>
    <row r="22" spans="1:2">
      <c r="B22" s="103"/>
    </row>
    <row r="23" spans="1:2">
      <c r="B23" s="102"/>
    </row>
    <row r="24" spans="1:2">
      <c r="A24" s="191"/>
      <c r="B24" s="102"/>
    </row>
    <row r="25" spans="1:2">
      <c r="B25" s="103"/>
    </row>
    <row r="26" spans="1:2">
      <c r="B26" s="102"/>
    </row>
    <row r="27" spans="1:2">
      <c r="A27" s="191"/>
      <c r="B27" s="102"/>
    </row>
    <row r="28" spans="1:2">
      <c r="B28" s="103"/>
    </row>
  </sheetData>
  <mergeCells count="12">
    <mergeCell ref="A1:Q1"/>
    <mergeCell ref="A2:B3"/>
    <mergeCell ref="C2:E2"/>
    <mergeCell ref="F2:H2"/>
    <mergeCell ref="I2:K2"/>
    <mergeCell ref="L2:N2"/>
    <mergeCell ref="O2:Q2"/>
    <mergeCell ref="A13:Q13"/>
    <mergeCell ref="A4:A5"/>
    <mergeCell ref="A8:A9"/>
    <mergeCell ref="A6:A7"/>
    <mergeCell ref="A10:A11"/>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8"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N32"/>
  <sheetViews>
    <sheetView showGridLines="0" showRuler="0" zoomScale="97" zoomScaleNormal="100" zoomScalePageLayoutView="125" workbookViewId="0">
      <selection activeCell="A17" sqref="A17:N17"/>
    </sheetView>
  </sheetViews>
  <sheetFormatPr defaultColWidth="8.875" defaultRowHeight="20.100000000000001" customHeight="1"/>
  <cols>
    <col min="1" max="1" width="6.625" style="1" customWidth="1"/>
    <col min="2" max="14" width="8.5" style="1" customWidth="1"/>
    <col min="15" max="16384" width="8.875" style="1"/>
  </cols>
  <sheetData>
    <row r="1" spans="1:14" ht="15.75" customHeight="1">
      <c r="A1" s="329" t="s">
        <v>20</v>
      </c>
      <c r="B1" s="329"/>
      <c r="C1" s="329"/>
      <c r="D1" s="329"/>
      <c r="E1" s="329"/>
      <c r="F1" s="329"/>
      <c r="G1" s="329"/>
      <c r="H1" s="329"/>
      <c r="I1" s="329"/>
      <c r="J1" s="329"/>
      <c r="K1" s="329"/>
      <c r="L1" s="329"/>
      <c r="M1" s="329"/>
      <c r="N1" s="329"/>
    </row>
    <row r="2" spans="1:14" ht="15.75" customHeight="1">
      <c r="A2" s="330"/>
      <c r="B2" s="330"/>
      <c r="C2" s="330"/>
      <c r="D2" s="330"/>
      <c r="E2" s="330"/>
      <c r="F2" s="330"/>
      <c r="G2" s="330"/>
      <c r="H2" s="330"/>
      <c r="I2" s="330"/>
      <c r="J2" s="330"/>
      <c r="K2" s="330"/>
      <c r="L2" s="330"/>
      <c r="M2" s="330"/>
      <c r="N2" s="330"/>
    </row>
    <row r="3" spans="1:14" ht="33" customHeight="1">
      <c r="A3" s="331"/>
      <c r="B3" s="333" t="s">
        <v>21</v>
      </c>
      <c r="C3" s="336" t="s">
        <v>504</v>
      </c>
      <c r="D3" s="337"/>
      <c r="E3" s="337"/>
      <c r="F3" s="337"/>
      <c r="G3" s="337"/>
      <c r="H3" s="337"/>
      <c r="I3" s="337"/>
      <c r="J3" s="337"/>
      <c r="K3" s="337"/>
      <c r="L3" s="337"/>
      <c r="M3" s="337"/>
      <c r="N3" s="337"/>
    </row>
    <row r="4" spans="1:14" ht="25.5" customHeight="1">
      <c r="A4" s="332"/>
      <c r="B4" s="334"/>
      <c r="C4" s="338" t="s">
        <v>376</v>
      </c>
      <c r="D4" s="333" t="s">
        <v>501</v>
      </c>
      <c r="E4" s="333" t="s">
        <v>502</v>
      </c>
      <c r="F4" s="333" t="s">
        <v>503</v>
      </c>
      <c r="G4" s="337" t="s">
        <v>22</v>
      </c>
      <c r="H4" s="337"/>
      <c r="I4" s="337"/>
      <c r="J4" s="337"/>
      <c r="K4" s="337"/>
      <c r="L4" s="333" t="s">
        <v>23</v>
      </c>
      <c r="M4" s="333" t="s">
        <v>24</v>
      </c>
      <c r="N4" s="333" t="s">
        <v>18</v>
      </c>
    </row>
    <row r="5" spans="1:14" ht="128.25" customHeight="1">
      <c r="A5" s="332"/>
      <c r="B5" s="335"/>
      <c r="C5" s="335"/>
      <c r="D5" s="335"/>
      <c r="E5" s="335"/>
      <c r="F5" s="335"/>
      <c r="G5" s="159" t="s">
        <v>387</v>
      </c>
      <c r="H5" s="160" t="s">
        <v>26</v>
      </c>
      <c r="I5" s="160" t="s">
        <v>25</v>
      </c>
      <c r="J5" s="160" t="s">
        <v>28</v>
      </c>
      <c r="K5" s="160" t="s">
        <v>27</v>
      </c>
      <c r="L5" s="335"/>
      <c r="M5" s="335"/>
      <c r="N5" s="335"/>
    </row>
    <row r="6" spans="1:14" ht="21" customHeight="1">
      <c r="A6" s="30" t="s">
        <v>574</v>
      </c>
      <c r="B6" s="27">
        <v>12278</v>
      </c>
      <c r="C6" s="27">
        <f t="shared" ref="C6:C15" si="0">SUM(D6:G6,L6,M6,N6)</f>
        <v>15602</v>
      </c>
      <c r="D6" s="27">
        <v>16</v>
      </c>
      <c r="E6" s="27">
        <v>123</v>
      </c>
      <c r="F6" s="27">
        <v>214</v>
      </c>
      <c r="G6" s="27">
        <f t="shared" ref="G6:G15" si="1">SUM(H6:K6)</f>
        <v>13890</v>
      </c>
      <c r="H6" s="27">
        <f>5364+912</f>
        <v>6276</v>
      </c>
      <c r="I6" s="27">
        <f>2333+4328</f>
        <v>6661</v>
      </c>
      <c r="J6" s="27">
        <v>814</v>
      </c>
      <c r="K6" s="27">
        <v>139</v>
      </c>
      <c r="L6" s="27">
        <v>11</v>
      </c>
      <c r="M6" s="27">
        <v>1340</v>
      </c>
      <c r="N6" s="27">
        <v>8</v>
      </c>
    </row>
    <row r="7" spans="1:14" ht="21" customHeight="1">
      <c r="A7" s="30" t="s">
        <v>30</v>
      </c>
      <c r="B7" s="27">
        <v>12845</v>
      </c>
      <c r="C7" s="27">
        <f t="shared" si="0"/>
        <v>15386</v>
      </c>
      <c r="D7" s="27">
        <v>7</v>
      </c>
      <c r="E7" s="27">
        <v>98</v>
      </c>
      <c r="F7" s="27">
        <v>197</v>
      </c>
      <c r="G7" s="27">
        <f t="shared" si="1"/>
        <v>13676</v>
      </c>
      <c r="H7" s="27">
        <f>5367+1012</f>
        <v>6379</v>
      </c>
      <c r="I7" s="27">
        <f>2241+4110</f>
        <v>6351</v>
      </c>
      <c r="J7" s="27">
        <v>808</v>
      </c>
      <c r="K7" s="27">
        <v>138</v>
      </c>
      <c r="L7" s="27">
        <v>18</v>
      </c>
      <c r="M7" s="27">
        <v>1383</v>
      </c>
      <c r="N7" s="27">
        <v>7</v>
      </c>
    </row>
    <row r="8" spans="1:14" ht="21" customHeight="1">
      <c r="A8" s="30" t="s">
        <v>31</v>
      </c>
      <c r="B8" s="27">
        <v>10597</v>
      </c>
      <c r="C8" s="27">
        <f t="shared" si="0"/>
        <v>12732</v>
      </c>
      <c r="D8" s="27">
        <v>2</v>
      </c>
      <c r="E8" s="27">
        <v>67</v>
      </c>
      <c r="F8" s="27">
        <v>145</v>
      </c>
      <c r="G8" s="27">
        <f t="shared" si="1"/>
        <v>11464</v>
      </c>
      <c r="H8" s="27">
        <f>4399+931</f>
        <v>5330</v>
      </c>
      <c r="I8" s="27">
        <f>1943+3354</f>
        <v>5297</v>
      </c>
      <c r="J8" s="27">
        <v>661</v>
      </c>
      <c r="K8" s="27">
        <v>176</v>
      </c>
      <c r="L8" s="27">
        <v>26</v>
      </c>
      <c r="M8" s="27">
        <v>1025</v>
      </c>
      <c r="N8" s="27">
        <v>3</v>
      </c>
    </row>
    <row r="9" spans="1:14" ht="21" customHeight="1">
      <c r="A9" s="30" t="s">
        <v>32</v>
      </c>
      <c r="B9" s="27">
        <v>10670</v>
      </c>
      <c r="C9" s="27">
        <f t="shared" si="0"/>
        <v>12306</v>
      </c>
      <c r="D9" s="27">
        <v>7</v>
      </c>
      <c r="E9" s="27">
        <v>75</v>
      </c>
      <c r="F9" s="27">
        <v>135</v>
      </c>
      <c r="G9" s="27">
        <f t="shared" si="1"/>
        <v>10644</v>
      </c>
      <c r="H9" s="27">
        <f>4405+827</f>
        <v>5232</v>
      </c>
      <c r="I9" s="27">
        <f>1718+2863</f>
        <v>4581</v>
      </c>
      <c r="J9" s="27">
        <v>687</v>
      </c>
      <c r="K9" s="27">
        <v>144</v>
      </c>
      <c r="L9" s="27">
        <v>29</v>
      </c>
      <c r="M9" s="27">
        <v>1413</v>
      </c>
      <c r="N9" s="27">
        <v>3</v>
      </c>
    </row>
    <row r="10" spans="1:14" ht="21" customHeight="1">
      <c r="A10" s="30" t="s">
        <v>33</v>
      </c>
      <c r="B10" s="27">
        <v>9505</v>
      </c>
      <c r="C10" s="27">
        <f t="shared" si="0"/>
        <v>10976</v>
      </c>
      <c r="D10" s="27">
        <v>1</v>
      </c>
      <c r="E10" s="27">
        <v>52</v>
      </c>
      <c r="F10" s="27">
        <v>135</v>
      </c>
      <c r="G10" s="27">
        <f t="shared" si="1"/>
        <v>9518</v>
      </c>
      <c r="H10" s="27">
        <f>4047+653</f>
        <v>4700</v>
      </c>
      <c r="I10" s="27">
        <f>1560+2513</f>
        <v>4073</v>
      </c>
      <c r="J10" s="27">
        <v>613</v>
      </c>
      <c r="K10" s="27">
        <v>132</v>
      </c>
      <c r="L10" s="27">
        <v>32</v>
      </c>
      <c r="M10" s="27">
        <v>1234</v>
      </c>
      <c r="N10" s="27">
        <v>4</v>
      </c>
    </row>
    <row r="11" spans="1:14" ht="21" customHeight="1">
      <c r="A11" s="30" t="s">
        <v>34</v>
      </c>
      <c r="B11" s="27">
        <v>9071</v>
      </c>
      <c r="C11" s="27">
        <f t="shared" si="0"/>
        <v>10601</v>
      </c>
      <c r="D11" s="27">
        <v>2</v>
      </c>
      <c r="E11" s="27">
        <v>71</v>
      </c>
      <c r="F11" s="27">
        <v>157</v>
      </c>
      <c r="G11" s="27">
        <f t="shared" si="1"/>
        <v>9283</v>
      </c>
      <c r="H11" s="27">
        <f>3716+699</f>
        <v>4415</v>
      </c>
      <c r="I11" s="27">
        <f>1678+2481</f>
        <v>4159</v>
      </c>
      <c r="J11" s="27">
        <v>586</v>
      </c>
      <c r="K11" s="27">
        <v>123</v>
      </c>
      <c r="L11" s="27">
        <v>15</v>
      </c>
      <c r="M11" s="27">
        <v>1071</v>
      </c>
      <c r="N11" s="27">
        <v>2</v>
      </c>
    </row>
    <row r="12" spans="1:14" ht="21" customHeight="1">
      <c r="A12" s="30" t="s">
        <v>35</v>
      </c>
      <c r="B12" s="27">
        <v>8420</v>
      </c>
      <c r="C12" s="27">
        <f t="shared" si="0"/>
        <v>9893</v>
      </c>
      <c r="D12" s="27">
        <v>4</v>
      </c>
      <c r="E12" s="27">
        <v>60</v>
      </c>
      <c r="F12" s="27">
        <v>191</v>
      </c>
      <c r="G12" s="27">
        <f t="shared" si="1"/>
        <v>8619</v>
      </c>
      <c r="H12" s="27">
        <f>3531+629</f>
        <v>4160</v>
      </c>
      <c r="I12" s="27">
        <f>1582+2371</f>
        <v>3953</v>
      </c>
      <c r="J12" s="27">
        <v>441</v>
      </c>
      <c r="K12" s="27">
        <v>65</v>
      </c>
      <c r="L12" s="27">
        <v>14</v>
      </c>
      <c r="M12" s="27">
        <v>1004</v>
      </c>
      <c r="N12" s="27">
        <v>1</v>
      </c>
    </row>
    <row r="13" spans="1:14" ht="21" customHeight="1">
      <c r="A13" s="30" t="s">
        <v>36</v>
      </c>
      <c r="B13" s="27">
        <v>8550</v>
      </c>
      <c r="C13" s="27">
        <f t="shared" si="0"/>
        <v>9913</v>
      </c>
      <c r="D13" s="27">
        <v>3</v>
      </c>
      <c r="E13" s="27">
        <v>84</v>
      </c>
      <c r="F13" s="27">
        <v>154</v>
      </c>
      <c r="G13" s="27">
        <f t="shared" si="1"/>
        <v>8467</v>
      </c>
      <c r="H13" s="27">
        <f>3469+578</f>
        <v>4047</v>
      </c>
      <c r="I13" s="27">
        <f>1704+2299</f>
        <v>4003</v>
      </c>
      <c r="J13" s="27">
        <v>351</v>
      </c>
      <c r="K13" s="27">
        <v>66</v>
      </c>
      <c r="L13" s="27">
        <v>14</v>
      </c>
      <c r="M13" s="27">
        <v>1152</v>
      </c>
      <c r="N13" s="27">
        <v>39</v>
      </c>
    </row>
    <row r="14" spans="1:14" ht="21" customHeight="1">
      <c r="A14" s="30" t="s">
        <v>37</v>
      </c>
      <c r="B14" s="27">
        <v>9150</v>
      </c>
      <c r="C14" s="27">
        <f t="shared" si="0"/>
        <v>10777</v>
      </c>
      <c r="D14" s="27">
        <v>2</v>
      </c>
      <c r="E14" s="27">
        <v>54</v>
      </c>
      <c r="F14" s="27">
        <v>150</v>
      </c>
      <c r="G14" s="27">
        <f t="shared" si="1"/>
        <v>9309</v>
      </c>
      <c r="H14" s="27">
        <f>3829+585</f>
        <v>4414</v>
      </c>
      <c r="I14" s="27">
        <f>1802+2580</f>
        <v>4382</v>
      </c>
      <c r="J14" s="27">
        <v>456</v>
      </c>
      <c r="K14" s="27">
        <v>57</v>
      </c>
      <c r="L14" s="27">
        <v>16</v>
      </c>
      <c r="M14" s="27">
        <v>1241</v>
      </c>
      <c r="N14" s="27">
        <v>5</v>
      </c>
    </row>
    <row r="15" spans="1:14" ht="21" customHeight="1">
      <c r="A15" s="19" t="s">
        <v>567</v>
      </c>
      <c r="B15" s="28">
        <v>8591</v>
      </c>
      <c r="C15" s="28">
        <f t="shared" si="0"/>
        <v>9944</v>
      </c>
      <c r="D15" s="28">
        <v>2</v>
      </c>
      <c r="E15" s="28">
        <v>62</v>
      </c>
      <c r="F15" s="28">
        <v>115</v>
      </c>
      <c r="G15" s="28">
        <f t="shared" si="1"/>
        <v>8508</v>
      </c>
      <c r="H15" s="28">
        <f>3557+501</f>
        <v>4058</v>
      </c>
      <c r="I15" s="28">
        <f>1696+2355</f>
        <v>4051</v>
      </c>
      <c r="J15" s="28">
        <v>353</v>
      </c>
      <c r="K15" s="28">
        <v>46</v>
      </c>
      <c r="L15" s="28">
        <v>18</v>
      </c>
      <c r="M15" s="28">
        <v>1238</v>
      </c>
      <c r="N15" s="28">
        <v>1</v>
      </c>
    </row>
    <row r="16" spans="1:14" ht="15.75">
      <c r="A16" s="339" t="s">
        <v>400</v>
      </c>
      <c r="B16" s="339"/>
      <c r="C16" s="339"/>
      <c r="D16" s="339"/>
      <c r="E16" s="339"/>
      <c r="F16" s="339"/>
      <c r="G16" s="339"/>
      <c r="H16" s="339"/>
      <c r="I16" s="339"/>
      <c r="J16" s="339"/>
      <c r="K16" s="339"/>
      <c r="L16" s="26"/>
      <c r="M16" s="26"/>
      <c r="N16" s="26"/>
    </row>
    <row r="17" spans="1:14" ht="15.75">
      <c r="A17" s="339" t="s">
        <v>38</v>
      </c>
      <c r="B17" s="339"/>
      <c r="C17" s="339"/>
      <c r="D17" s="339"/>
      <c r="E17" s="339"/>
      <c r="F17" s="339"/>
      <c r="G17" s="339"/>
      <c r="H17" s="339"/>
      <c r="I17" s="339"/>
      <c r="J17" s="339"/>
      <c r="K17" s="339"/>
      <c r="L17" s="339"/>
      <c r="M17" s="339"/>
      <c r="N17" s="339"/>
    </row>
    <row r="18" spans="1:14" ht="15.75">
      <c r="A18" s="339" t="s">
        <v>388</v>
      </c>
      <c r="B18" s="339"/>
      <c r="C18" s="339"/>
      <c r="D18" s="339"/>
      <c r="E18" s="339"/>
      <c r="F18" s="339"/>
      <c r="G18" s="339"/>
      <c r="H18" s="339"/>
      <c r="I18" s="339"/>
      <c r="J18" s="339"/>
      <c r="K18" s="339"/>
      <c r="L18" s="339"/>
      <c r="M18" s="339"/>
      <c r="N18" s="339"/>
    </row>
    <row r="19" spans="1:14" ht="15.75">
      <c r="A19" s="339" t="s">
        <v>861</v>
      </c>
      <c r="B19" s="339"/>
      <c r="C19" s="339"/>
      <c r="D19" s="339"/>
      <c r="E19" s="339"/>
      <c r="F19" s="339"/>
      <c r="G19" s="339"/>
      <c r="H19" s="339"/>
      <c r="I19" s="339"/>
      <c r="J19" s="339"/>
      <c r="K19" s="339"/>
      <c r="L19" s="339"/>
      <c r="M19" s="339"/>
      <c r="N19" s="339"/>
    </row>
    <row r="20" spans="1:14" ht="16.5">
      <c r="A20" s="339" t="s">
        <v>862</v>
      </c>
      <c r="B20" s="339"/>
      <c r="C20" s="340"/>
      <c r="D20" s="339"/>
      <c r="E20" s="339"/>
      <c r="F20" s="339"/>
      <c r="G20" s="339"/>
      <c r="H20" s="339"/>
      <c r="I20" s="339"/>
      <c r="J20" s="339"/>
      <c r="K20" s="339"/>
      <c r="L20" s="339"/>
      <c r="M20" s="339"/>
      <c r="N20" s="339"/>
    </row>
    <row r="22" spans="1:14" ht="20.100000000000001" customHeight="1">
      <c r="B22" s="158"/>
      <c r="C22" s="157"/>
    </row>
    <row r="23" spans="1:14" ht="20.100000000000001" customHeight="1">
      <c r="H23" s="208"/>
      <c r="I23" s="208"/>
      <c r="J23" s="208"/>
      <c r="K23" s="208"/>
    </row>
    <row r="24" spans="1:14" ht="20.100000000000001" customHeight="1">
      <c r="H24" s="208"/>
      <c r="I24" s="208"/>
      <c r="J24" s="208"/>
      <c r="K24" s="208"/>
    </row>
    <row r="25" spans="1:14" ht="20.100000000000001" customHeight="1">
      <c r="H25" s="208"/>
      <c r="I25" s="208"/>
      <c r="J25" s="208"/>
      <c r="K25" s="208"/>
    </row>
    <row r="26" spans="1:14" ht="20.100000000000001" customHeight="1">
      <c r="H26" s="208"/>
      <c r="I26" s="208"/>
      <c r="J26" s="208"/>
      <c r="K26" s="208"/>
    </row>
    <row r="27" spans="1:14" ht="20.100000000000001" customHeight="1">
      <c r="H27" s="208"/>
      <c r="I27" s="208"/>
      <c r="J27" s="208"/>
      <c r="K27" s="208"/>
    </row>
    <row r="28" spans="1:14" ht="20.100000000000001" customHeight="1">
      <c r="H28" s="208"/>
      <c r="I28" s="208"/>
      <c r="J28" s="208"/>
      <c r="K28" s="208"/>
    </row>
    <row r="29" spans="1:14" ht="20.100000000000001" customHeight="1">
      <c r="H29" s="208"/>
      <c r="I29" s="208"/>
      <c r="J29" s="208"/>
      <c r="K29" s="208"/>
    </row>
    <row r="30" spans="1:14" ht="20.100000000000001" customHeight="1">
      <c r="H30" s="208"/>
      <c r="I30" s="208"/>
      <c r="J30" s="208"/>
      <c r="K30" s="208"/>
    </row>
    <row r="31" spans="1:14" ht="20.100000000000001" customHeight="1">
      <c r="H31" s="208"/>
      <c r="I31" s="208"/>
      <c r="J31" s="208"/>
      <c r="K31" s="208"/>
    </row>
    <row r="32" spans="1:14" ht="20.100000000000001" customHeight="1">
      <c r="H32" s="208"/>
      <c r="I32" s="208"/>
      <c r="J32" s="208"/>
      <c r="K32" s="208"/>
    </row>
  </sheetData>
  <mergeCells count="17">
    <mergeCell ref="A20:N20"/>
    <mergeCell ref="M4:M5"/>
    <mergeCell ref="N4:N5"/>
    <mergeCell ref="A16:K16"/>
    <mergeCell ref="A17:N17"/>
    <mergeCell ref="A18:N18"/>
    <mergeCell ref="A19:N19"/>
    <mergeCell ref="A1:N2"/>
    <mergeCell ref="A3:A5"/>
    <mergeCell ref="B3:B5"/>
    <mergeCell ref="C3:N3"/>
    <mergeCell ref="C4:C5"/>
    <mergeCell ref="D4:D5"/>
    <mergeCell ref="E4:E5"/>
    <mergeCell ref="F4:F5"/>
    <mergeCell ref="G4:K4"/>
    <mergeCell ref="L4:L5"/>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9"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20"/>
  <sheetViews>
    <sheetView showGridLines="0" zoomScaleNormal="100" workbookViewId="0">
      <pane xSplit="1" ySplit="2" topLeftCell="B3" activePane="bottomRight" state="frozen"/>
      <selection activeCell="F17" sqref="F17"/>
      <selection pane="topRight" activeCell="F17" sqref="F17"/>
      <selection pane="bottomLeft" activeCell="F17" sqref="F17"/>
      <selection pane="bottomRight" activeCell="F17" sqref="F17"/>
    </sheetView>
  </sheetViews>
  <sheetFormatPr defaultColWidth="8.875" defaultRowHeight="15.75"/>
  <cols>
    <col min="1" max="1" width="26.875" style="81" customWidth="1"/>
    <col min="2" max="16" width="7.625" style="81" customWidth="1"/>
    <col min="17" max="252" width="9" style="81"/>
    <col min="253" max="253" width="6.375" style="81" customWidth="1"/>
    <col min="254" max="254" width="22.375" style="81" customWidth="1"/>
    <col min="255" max="269" width="7.125" style="81" customWidth="1"/>
    <col min="270" max="508" width="9" style="81"/>
    <col min="509" max="509" width="6.375" style="81" customWidth="1"/>
    <col min="510" max="510" width="22.375" style="81" customWidth="1"/>
    <col min="511" max="525" width="7.125" style="81" customWidth="1"/>
    <col min="526" max="764" width="9" style="81"/>
    <col min="765" max="765" width="6.375" style="81" customWidth="1"/>
    <col min="766" max="766" width="22.375" style="81" customWidth="1"/>
    <col min="767" max="781" width="7.125" style="81" customWidth="1"/>
    <col min="782" max="1020" width="9" style="81"/>
    <col min="1021" max="1021" width="6.375" style="81" customWidth="1"/>
    <col min="1022" max="1022" width="22.375" style="81" customWidth="1"/>
    <col min="1023" max="1037" width="7.125" style="81" customWidth="1"/>
    <col min="1038" max="1276" width="9" style="81"/>
    <col min="1277" max="1277" width="6.375" style="81" customWidth="1"/>
    <col min="1278" max="1278" width="22.375" style="81" customWidth="1"/>
    <col min="1279" max="1293" width="7.125" style="81" customWidth="1"/>
    <col min="1294" max="1532" width="9" style="81"/>
    <col min="1533" max="1533" width="6.375" style="81" customWidth="1"/>
    <col min="1534" max="1534" width="22.375" style="81" customWidth="1"/>
    <col min="1535" max="1549" width="7.125" style="81" customWidth="1"/>
    <col min="1550" max="1788" width="9" style="81"/>
    <col min="1789" max="1789" width="6.375" style="81" customWidth="1"/>
    <col min="1790" max="1790" width="22.375" style="81" customWidth="1"/>
    <col min="1791" max="1805" width="7.125" style="81" customWidth="1"/>
    <col min="1806" max="2044" width="9" style="81"/>
    <col min="2045" max="2045" width="6.375" style="81" customWidth="1"/>
    <col min="2046" max="2046" width="22.375" style="81" customWidth="1"/>
    <col min="2047" max="2061" width="7.125" style="81" customWidth="1"/>
    <col min="2062" max="2300" width="9" style="81"/>
    <col min="2301" max="2301" width="6.375" style="81" customWidth="1"/>
    <col min="2302" max="2302" width="22.375" style="81" customWidth="1"/>
    <col min="2303" max="2317" width="7.125" style="81" customWidth="1"/>
    <col min="2318" max="2556" width="9" style="81"/>
    <col min="2557" max="2557" width="6.375" style="81" customWidth="1"/>
    <col min="2558" max="2558" width="22.375" style="81" customWidth="1"/>
    <col min="2559" max="2573" width="7.125" style="81" customWidth="1"/>
    <col min="2574" max="2812" width="9" style="81"/>
    <col min="2813" max="2813" width="6.375" style="81" customWidth="1"/>
    <col min="2814" max="2814" width="22.375" style="81" customWidth="1"/>
    <col min="2815" max="2829" width="7.125" style="81" customWidth="1"/>
    <col min="2830" max="3068" width="9" style="81"/>
    <col min="3069" max="3069" width="6.375" style="81" customWidth="1"/>
    <col min="3070" max="3070" width="22.375" style="81" customWidth="1"/>
    <col min="3071" max="3085" width="7.125" style="81" customWidth="1"/>
    <col min="3086" max="3324" width="9" style="81"/>
    <col min="3325" max="3325" width="6.375" style="81" customWidth="1"/>
    <col min="3326" max="3326" width="22.375" style="81" customWidth="1"/>
    <col min="3327" max="3341" width="7.125" style="81" customWidth="1"/>
    <col min="3342" max="3580" width="9" style="81"/>
    <col min="3581" max="3581" width="6.375" style="81" customWidth="1"/>
    <col min="3582" max="3582" width="22.375" style="81" customWidth="1"/>
    <col min="3583" max="3597" width="7.125" style="81" customWidth="1"/>
    <col min="3598" max="3836" width="9" style="81"/>
    <col min="3837" max="3837" width="6.375" style="81" customWidth="1"/>
    <col min="3838" max="3838" width="22.375" style="81" customWidth="1"/>
    <col min="3839" max="3853" width="7.125" style="81" customWidth="1"/>
    <col min="3854" max="4092" width="9" style="81"/>
    <col min="4093" max="4093" width="6.375" style="81" customWidth="1"/>
    <col min="4094" max="4094" width="22.375" style="81" customWidth="1"/>
    <col min="4095" max="4109" width="7.125" style="81" customWidth="1"/>
    <col min="4110" max="4348" width="9" style="81"/>
    <col min="4349" max="4349" width="6.375" style="81" customWidth="1"/>
    <col min="4350" max="4350" width="22.375" style="81" customWidth="1"/>
    <col min="4351" max="4365" width="7.125" style="81" customWidth="1"/>
    <col min="4366" max="4604" width="9" style="81"/>
    <col min="4605" max="4605" width="6.375" style="81" customWidth="1"/>
    <col min="4606" max="4606" width="22.375" style="81" customWidth="1"/>
    <col min="4607" max="4621" width="7.125" style="81" customWidth="1"/>
    <col min="4622" max="4860" width="9" style="81"/>
    <col min="4861" max="4861" width="6.375" style="81" customWidth="1"/>
    <col min="4862" max="4862" width="22.375" style="81" customWidth="1"/>
    <col min="4863" max="4877" width="7.125" style="81" customWidth="1"/>
    <col min="4878" max="5116" width="9" style="81"/>
    <col min="5117" max="5117" width="6.375" style="81" customWidth="1"/>
    <col min="5118" max="5118" width="22.375" style="81" customWidth="1"/>
    <col min="5119" max="5133" width="7.125" style="81" customWidth="1"/>
    <col min="5134" max="5372" width="9" style="81"/>
    <col min="5373" max="5373" width="6.375" style="81" customWidth="1"/>
    <col min="5374" max="5374" width="22.375" style="81" customWidth="1"/>
    <col min="5375" max="5389" width="7.125" style="81" customWidth="1"/>
    <col min="5390" max="5628" width="9" style="81"/>
    <col min="5629" max="5629" width="6.375" style="81" customWidth="1"/>
    <col min="5630" max="5630" width="22.375" style="81" customWidth="1"/>
    <col min="5631" max="5645" width="7.125" style="81" customWidth="1"/>
    <col min="5646" max="5884" width="9" style="81"/>
    <col min="5885" max="5885" width="6.375" style="81" customWidth="1"/>
    <col min="5886" max="5886" width="22.375" style="81" customWidth="1"/>
    <col min="5887" max="5901" width="7.125" style="81" customWidth="1"/>
    <col min="5902" max="6140" width="9" style="81"/>
    <col min="6141" max="6141" width="6.375" style="81" customWidth="1"/>
    <col min="6142" max="6142" width="22.375" style="81" customWidth="1"/>
    <col min="6143" max="6157" width="7.125" style="81" customWidth="1"/>
    <col min="6158" max="6396" width="9" style="81"/>
    <col min="6397" max="6397" width="6.375" style="81" customWidth="1"/>
    <col min="6398" max="6398" width="22.375" style="81" customWidth="1"/>
    <col min="6399" max="6413" width="7.125" style="81" customWidth="1"/>
    <col min="6414" max="6652" width="9" style="81"/>
    <col min="6653" max="6653" width="6.375" style="81" customWidth="1"/>
    <col min="6654" max="6654" width="22.375" style="81" customWidth="1"/>
    <col min="6655" max="6669" width="7.125" style="81" customWidth="1"/>
    <col min="6670" max="6908" width="9" style="81"/>
    <col min="6909" max="6909" width="6.375" style="81" customWidth="1"/>
    <col min="6910" max="6910" width="22.375" style="81" customWidth="1"/>
    <col min="6911" max="6925" width="7.125" style="81" customWidth="1"/>
    <col min="6926" max="7164" width="9" style="81"/>
    <col min="7165" max="7165" width="6.375" style="81" customWidth="1"/>
    <col min="7166" max="7166" width="22.375" style="81" customWidth="1"/>
    <col min="7167" max="7181" width="7.125" style="81" customWidth="1"/>
    <col min="7182" max="7420" width="9" style="81"/>
    <col min="7421" max="7421" width="6.375" style="81" customWidth="1"/>
    <col min="7422" max="7422" width="22.375" style="81" customWidth="1"/>
    <col min="7423" max="7437" width="7.125" style="81" customWidth="1"/>
    <col min="7438" max="7676" width="9" style="81"/>
    <col min="7677" max="7677" width="6.375" style="81" customWidth="1"/>
    <col min="7678" max="7678" width="22.375" style="81" customWidth="1"/>
    <col min="7679" max="7693" width="7.125" style="81" customWidth="1"/>
    <col min="7694" max="7932" width="9" style="81"/>
    <col min="7933" max="7933" width="6.375" style="81" customWidth="1"/>
    <col min="7934" max="7934" width="22.375" style="81" customWidth="1"/>
    <col min="7935" max="7949" width="7.125" style="81" customWidth="1"/>
    <col min="7950" max="8188" width="9" style="81"/>
    <col min="8189" max="8189" width="6.375" style="81" customWidth="1"/>
    <col min="8190" max="8190" width="22.375" style="81" customWidth="1"/>
    <col min="8191" max="8205" width="7.125" style="81" customWidth="1"/>
    <col min="8206" max="8444" width="9" style="81"/>
    <col min="8445" max="8445" width="6.375" style="81" customWidth="1"/>
    <col min="8446" max="8446" width="22.375" style="81" customWidth="1"/>
    <col min="8447" max="8461" width="7.125" style="81" customWidth="1"/>
    <col min="8462" max="8700" width="9" style="81"/>
    <col min="8701" max="8701" width="6.375" style="81" customWidth="1"/>
    <col min="8702" max="8702" width="22.375" style="81" customWidth="1"/>
    <col min="8703" max="8717" width="7.125" style="81" customWidth="1"/>
    <col min="8718" max="8956" width="9" style="81"/>
    <col min="8957" max="8957" width="6.375" style="81" customWidth="1"/>
    <col min="8958" max="8958" width="22.375" style="81" customWidth="1"/>
    <col min="8959" max="8973" width="7.125" style="81" customWidth="1"/>
    <col min="8974" max="9212" width="9" style="81"/>
    <col min="9213" max="9213" width="6.375" style="81" customWidth="1"/>
    <col min="9214" max="9214" width="22.375" style="81" customWidth="1"/>
    <col min="9215" max="9229" width="7.125" style="81" customWidth="1"/>
    <col min="9230" max="9468" width="9" style="81"/>
    <col min="9469" max="9469" width="6.375" style="81" customWidth="1"/>
    <col min="9470" max="9470" width="22.375" style="81" customWidth="1"/>
    <col min="9471" max="9485" width="7.125" style="81" customWidth="1"/>
    <col min="9486" max="9724" width="9" style="81"/>
    <col min="9725" max="9725" width="6.375" style="81" customWidth="1"/>
    <col min="9726" max="9726" width="22.375" style="81" customWidth="1"/>
    <col min="9727" max="9741" width="7.125" style="81" customWidth="1"/>
    <col min="9742" max="9980" width="9" style="81"/>
    <col min="9981" max="9981" width="6.375" style="81" customWidth="1"/>
    <col min="9982" max="9982" width="22.375" style="81" customWidth="1"/>
    <col min="9983" max="9997" width="7.125" style="81" customWidth="1"/>
    <col min="9998" max="10236" width="9" style="81"/>
    <col min="10237" max="10237" width="6.375" style="81" customWidth="1"/>
    <col min="10238" max="10238" width="22.375" style="81" customWidth="1"/>
    <col min="10239" max="10253" width="7.125" style="81" customWidth="1"/>
    <col min="10254" max="10492" width="9" style="81"/>
    <col min="10493" max="10493" width="6.375" style="81" customWidth="1"/>
    <col min="10494" max="10494" width="22.375" style="81" customWidth="1"/>
    <col min="10495" max="10509" width="7.125" style="81" customWidth="1"/>
    <col min="10510" max="10748" width="9" style="81"/>
    <col min="10749" max="10749" width="6.375" style="81" customWidth="1"/>
    <col min="10750" max="10750" width="22.375" style="81" customWidth="1"/>
    <col min="10751" max="10765" width="7.125" style="81" customWidth="1"/>
    <col min="10766" max="11004" width="9" style="81"/>
    <col min="11005" max="11005" width="6.375" style="81" customWidth="1"/>
    <col min="11006" max="11006" width="22.375" style="81" customWidth="1"/>
    <col min="11007" max="11021" width="7.125" style="81" customWidth="1"/>
    <col min="11022" max="11260" width="9" style="81"/>
    <col min="11261" max="11261" width="6.375" style="81" customWidth="1"/>
    <col min="11262" max="11262" width="22.375" style="81" customWidth="1"/>
    <col min="11263" max="11277" width="7.125" style="81" customWidth="1"/>
    <col min="11278" max="11516" width="9" style="81"/>
    <col min="11517" max="11517" width="6.375" style="81" customWidth="1"/>
    <col min="11518" max="11518" width="22.375" style="81" customWidth="1"/>
    <col min="11519" max="11533" width="7.125" style="81" customWidth="1"/>
    <col min="11534" max="11772" width="9" style="81"/>
    <col min="11773" max="11773" width="6.375" style="81" customWidth="1"/>
    <col min="11774" max="11774" width="22.375" style="81" customWidth="1"/>
    <col min="11775" max="11789" width="7.125" style="81" customWidth="1"/>
    <col min="11790" max="12028" width="9" style="81"/>
    <col min="12029" max="12029" width="6.375" style="81" customWidth="1"/>
    <col min="12030" max="12030" width="22.375" style="81" customWidth="1"/>
    <col min="12031" max="12045" width="7.125" style="81" customWidth="1"/>
    <col min="12046" max="12284" width="9" style="81"/>
    <col min="12285" max="12285" width="6.375" style="81" customWidth="1"/>
    <col min="12286" max="12286" width="22.375" style="81" customWidth="1"/>
    <col min="12287" max="12301" width="7.125" style="81" customWidth="1"/>
    <col min="12302" max="12540" width="9" style="81"/>
    <col min="12541" max="12541" width="6.375" style="81" customWidth="1"/>
    <col min="12542" max="12542" width="22.375" style="81" customWidth="1"/>
    <col min="12543" max="12557" width="7.125" style="81" customWidth="1"/>
    <col min="12558" max="12796" width="9" style="81"/>
    <col min="12797" max="12797" width="6.375" style="81" customWidth="1"/>
    <col min="12798" max="12798" width="22.375" style="81" customWidth="1"/>
    <col min="12799" max="12813" width="7.125" style="81" customWidth="1"/>
    <col min="12814" max="13052" width="9" style="81"/>
    <col min="13053" max="13053" width="6.375" style="81" customWidth="1"/>
    <col min="13054" max="13054" width="22.375" style="81" customWidth="1"/>
    <col min="13055" max="13069" width="7.125" style="81" customWidth="1"/>
    <col min="13070" max="13308" width="9" style="81"/>
    <col min="13309" max="13309" width="6.375" style="81" customWidth="1"/>
    <col min="13310" max="13310" width="22.375" style="81" customWidth="1"/>
    <col min="13311" max="13325" width="7.125" style="81" customWidth="1"/>
    <col min="13326" max="13564" width="9" style="81"/>
    <col min="13565" max="13565" width="6.375" style="81" customWidth="1"/>
    <col min="13566" max="13566" width="22.375" style="81" customWidth="1"/>
    <col min="13567" max="13581" width="7.125" style="81" customWidth="1"/>
    <col min="13582" max="13820" width="9" style="81"/>
    <col min="13821" max="13821" width="6.375" style="81" customWidth="1"/>
    <col min="13822" max="13822" width="22.375" style="81" customWidth="1"/>
    <col min="13823" max="13837" width="7.125" style="81" customWidth="1"/>
    <col min="13838" max="14076" width="9" style="81"/>
    <col min="14077" max="14077" width="6.375" style="81" customWidth="1"/>
    <col min="14078" max="14078" width="22.375" style="81" customWidth="1"/>
    <col min="14079" max="14093" width="7.125" style="81" customWidth="1"/>
    <col min="14094" max="14332" width="9" style="81"/>
    <col min="14333" max="14333" width="6.375" style="81" customWidth="1"/>
    <col min="14334" max="14334" width="22.375" style="81" customWidth="1"/>
    <col min="14335" max="14349" width="7.125" style="81" customWidth="1"/>
    <col min="14350" max="14588" width="9" style="81"/>
    <col min="14589" max="14589" width="6.375" style="81" customWidth="1"/>
    <col min="14590" max="14590" width="22.375" style="81" customWidth="1"/>
    <col min="14591" max="14605" width="7.125" style="81" customWidth="1"/>
    <col min="14606" max="14844" width="9" style="81"/>
    <col min="14845" max="14845" width="6.375" style="81" customWidth="1"/>
    <col min="14846" max="14846" width="22.375" style="81" customWidth="1"/>
    <col min="14847" max="14861" width="7.125" style="81" customWidth="1"/>
    <col min="14862" max="15100" width="9" style="81"/>
    <col min="15101" max="15101" width="6.375" style="81" customWidth="1"/>
    <col min="15102" max="15102" width="22.375" style="81" customWidth="1"/>
    <col min="15103" max="15117" width="7.125" style="81" customWidth="1"/>
    <col min="15118" max="15356" width="9" style="81"/>
    <col min="15357" max="15357" width="6.375" style="81" customWidth="1"/>
    <col min="15358" max="15358" width="22.375" style="81" customWidth="1"/>
    <col min="15359" max="15373" width="7.125" style="81" customWidth="1"/>
    <col min="15374" max="15612" width="9" style="81"/>
    <col min="15613" max="15613" width="6.375" style="81" customWidth="1"/>
    <col min="15614" max="15614" width="22.375" style="81" customWidth="1"/>
    <col min="15615" max="15629" width="7.125" style="81" customWidth="1"/>
    <col min="15630" max="15868" width="9" style="81"/>
    <col min="15869" max="15869" width="6.375" style="81" customWidth="1"/>
    <col min="15870" max="15870" width="22.375" style="81" customWidth="1"/>
    <col min="15871" max="15885" width="7.125" style="81" customWidth="1"/>
    <col min="15886" max="16124" width="9" style="81"/>
    <col min="16125" max="16125" width="6.375" style="81" customWidth="1"/>
    <col min="16126" max="16126" width="22.375" style="81" customWidth="1"/>
    <col min="16127" max="16141" width="7.125" style="81" customWidth="1"/>
    <col min="16142" max="16384" width="9" style="81"/>
  </cols>
  <sheetData>
    <row r="1" spans="1:16" s="80" customFormat="1" ht="30" customHeight="1">
      <c r="A1" s="406" t="s">
        <v>666</v>
      </c>
      <c r="B1" s="406"/>
      <c r="C1" s="406"/>
      <c r="D1" s="406"/>
      <c r="E1" s="406"/>
      <c r="F1" s="406"/>
      <c r="G1" s="406"/>
      <c r="H1" s="406"/>
      <c r="I1" s="406"/>
      <c r="J1" s="406"/>
      <c r="K1" s="406"/>
      <c r="L1" s="406"/>
      <c r="M1" s="406"/>
      <c r="N1" s="406"/>
      <c r="O1" s="406"/>
      <c r="P1" s="406"/>
    </row>
    <row r="2" spans="1:16" ht="30" customHeight="1">
      <c r="A2" s="424"/>
      <c r="B2" s="421" t="s">
        <v>787</v>
      </c>
      <c r="C2" s="421"/>
      <c r="D2" s="421"/>
      <c r="E2" s="421" t="s">
        <v>772</v>
      </c>
      <c r="F2" s="421"/>
      <c r="G2" s="421"/>
      <c r="H2" s="421" t="s">
        <v>773</v>
      </c>
      <c r="I2" s="421"/>
      <c r="J2" s="421"/>
      <c r="K2" s="421" t="s">
        <v>774</v>
      </c>
      <c r="L2" s="421"/>
      <c r="M2" s="421"/>
      <c r="N2" s="421" t="s">
        <v>775</v>
      </c>
      <c r="O2" s="421"/>
      <c r="P2" s="421"/>
    </row>
    <row r="3" spans="1:16" s="233" customFormat="1" ht="30" customHeight="1">
      <c r="A3" s="425"/>
      <c r="B3" s="232" t="s">
        <v>788</v>
      </c>
      <c r="C3" s="232" t="s">
        <v>669</v>
      </c>
      <c r="D3" s="232" t="s">
        <v>668</v>
      </c>
      <c r="E3" s="232" t="s">
        <v>789</v>
      </c>
      <c r="F3" s="232" t="s">
        <v>669</v>
      </c>
      <c r="G3" s="232" t="s">
        <v>668</v>
      </c>
      <c r="H3" s="232" t="s">
        <v>667</v>
      </c>
      <c r="I3" s="232" t="s">
        <v>669</v>
      </c>
      <c r="J3" s="232" t="s">
        <v>668</v>
      </c>
      <c r="K3" s="232" t="s">
        <v>667</v>
      </c>
      <c r="L3" s="232" t="s">
        <v>779</v>
      </c>
      <c r="M3" s="232" t="s">
        <v>776</v>
      </c>
      <c r="N3" s="232" t="s">
        <v>667</v>
      </c>
      <c r="O3" s="232" t="s">
        <v>779</v>
      </c>
      <c r="P3" s="232" t="s">
        <v>668</v>
      </c>
    </row>
    <row r="4" spans="1:16" s="233" customFormat="1" ht="24.6" customHeight="1">
      <c r="A4" s="234" t="s">
        <v>790</v>
      </c>
      <c r="B4" s="235">
        <f t="shared" ref="B4:P4" si="0">SUM(B5:B18)</f>
        <v>738</v>
      </c>
      <c r="C4" s="235">
        <f t="shared" si="0"/>
        <v>636</v>
      </c>
      <c r="D4" s="235">
        <f t="shared" si="0"/>
        <v>102</v>
      </c>
      <c r="E4" s="235">
        <f t="shared" si="0"/>
        <v>475</v>
      </c>
      <c r="F4" s="235">
        <f t="shared" si="0"/>
        <v>420</v>
      </c>
      <c r="G4" s="235">
        <f t="shared" si="0"/>
        <v>55</v>
      </c>
      <c r="H4" s="235">
        <f t="shared" si="0"/>
        <v>473</v>
      </c>
      <c r="I4" s="235">
        <f t="shared" si="0"/>
        <v>402</v>
      </c>
      <c r="J4" s="235">
        <f t="shared" si="0"/>
        <v>71</v>
      </c>
      <c r="K4" s="235">
        <f t="shared" si="0"/>
        <v>475</v>
      </c>
      <c r="L4" s="235">
        <f t="shared" si="0"/>
        <v>430</v>
      </c>
      <c r="M4" s="236">
        <f t="shared" si="0"/>
        <v>45</v>
      </c>
      <c r="N4" s="236">
        <f t="shared" si="0"/>
        <v>362</v>
      </c>
      <c r="O4" s="236">
        <f t="shared" si="0"/>
        <v>331</v>
      </c>
      <c r="P4" s="236">
        <f t="shared" si="0"/>
        <v>31</v>
      </c>
    </row>
    <row r="5" spans="1:16" s="233" customFormat="1" ht="28.35" customHeight="1">
      <c r="A5" s="234" t="s">
        <v>791</v>
      </c>
      <c r="B5" s="235">
        <v>109</v>
      </c>
      <c r="C5" s="235">
        <v>107</v>
      </c>
      <c r="D5" s="235">
        <v>2</v>
      </c>
      <c r="E5" s="235">
        <v>52</v>
      </c>
      <c r="F5" s="235">
        <v>51</v>
      </c>
      <c r="G5" s="235">
        <v>1</v>
      </c>
      <c r="H5" s="235">
        <v>84</v>
      </c>
      <c r="I5" s="235">
        <v>78</v>
      </c>
      <c r="J5" s="235">
        <v>6</v>
      </c>
      <c r="K5" s="235">
        <v>84</v>
      </c>
      <c r="L5" s="235">
        <v>81</v>
      </c>
      <c r="M5" s="235">
        <v>3</v>
      </c>
      <c r="N5" s="235">
        <v>80</v>
      </c>
      <c r="O5" s="235">
        <v>80</v>
      </c>
      <c r="P5" s="235">
        <v>0</v>
      </c>
    </row>
    <row r="6" spans="1:16" s="233" customFormat="1" ht="28.35" customHeight="1">
      <c r="A6" s="234" t="s">
        <v>792</v>
      </c>
      <c r="B6" s="235">
        <v>69</v>
      </c>
      <c r="C6" s="235">
        <v>61</v>
      </c>
      <c r="D6" s="235">
        <v>8</v>
      </c>
      <c r="E6" s="235">
        <v>59</v>
      </c>
      <c r="F6" s="235">
        <v>53</v>
      </c>
      <c r="G6" s="235">
        <v>6</v>
      </c>
      <c r="H6" s="235">
        <v>65</v>
      </c>
      <c r="I6" s="235">
        <v>60</v>
      </c>
      <c r="J6" s="235">
        <v>5</v>
      </c>
      <c r="K6" s="235">
        <v>84</v>
      </c>
      <c r="L6" s="235">
        <v>77</v>
      </c>
      <c r="M6" s="235">
        <v>7</v>
      </c>
      <c r="N6" s="235">
        <v>57</v>
      </c>
      <c r="O6" s="235">
        <v>52</v>
      </c>
      <c r="P6" s="235">
        <v>5</v>
      </c>
    </row>
    <row r="7" spans="1:16" s="233" customFormat="1" ht="28.35" customHeight="1">
      <c r="A7" s="234" t="s">
        <v>793</v>
      </c>
      <c r="B7" s="235">
        <v>232</v>
      </c>
      <c r="C7" s="235">
        <v>182</v>
      </c>
      <c r="D7" s="235">
        <v>50</v>
      </c>
      <c r="E7" s="235">
        <v>121</v>
      </c>
      <c r="F7" s="235">
        <v>92</v>
      </c>
      <c r="G7" s="235">
        <v>29</v>
      </c>
      <c r="H7" s="235">
        <v>88</v>
      </c>
      <c r="I7" s="235">
        <v>61</v>
      </c>
      <c r="J7" s="235">
        <v>27</v>
      </c>
      <c r="K7" s="235">
        <v>79</v>
      </c>
      <c r="L7" s="235">
        <v>66</v>
      </c>
      <c r="M7" s="235">
        <v>13</v>
      </c>
      <c r="N7" s="235">
        <v>50</v>
      </c>
      <c r="O7" s="235">
        <v>42</v>
      </c>
      <c r="P7" s="235">
        <v>8</v>
      </c>
    </row>
    <row r="8" spans="1:16" s="233" customFormat="1" ht="28.35" customHeight="1">
      <c r="A8" s="234" t="s">
        <v>794</v>
      </c>
      <c r="B8" s="235">
        <v>122</v>
      </c>
      <c r="C8" s="235">
        <v>107</v>
      </c>
      <c r="D8" s="235">
        <v>15</v>
      </c>
      <c r="E8" s="235">
        <v>86</v>
      </c>
      <c r="F8" s="235">
        <v>82</v>
      </c>
      <c r="G8" s="235">
        <v>4</v>
      </c>
      <c r="H8" s="235">
        <v>92</v>
      </c>
      <c r="I8" s="235">
        <v>72</v>
      </c>
      <c r="J8" s="235">
        <v>20</v>
      </c>
      <c r="K8" s="235">
        <v>76</v>
      </c>
      <c r="L8" s="235">
        <v>69</v>
      </c>
      <c r="M8" s="235">
        <v>7</v>
      </c>
      <c r="N8" s="235">
        <v>49</v>
      </c>
      <c r="O8" s="235">
        <v>42</v>
      </c>
      <c r="P8" s="235">
        <v>7</v>
      </c>
    </row>
    <row r="9" spans="1:16" s="233" customFormat="1" ht="28.35" customHeight="1">
      <c r="A9" s="234" t="s">
        <v>453</v>
      </c>
      <c r="B9" s="235">
        <v>40</v>
      </c>
      <c r="C9" s="235">
        <v>39</v>
      </c>
      <c r="D9" s="235">
        <v>1</v>
      </c>
      <c r="E9" s="235">
        <v>33</v>
      </c>
      <c r="F9" s="235">
        <v>30</v>
      </c>
      <c r="G9" s="235">
        <v>3</v>
      </c>
      <c r="H9" s="235">
        <v>37</v>
      </c>
      <c r="I9" s="235">
        <v>36</v>
      </c>
      <c r="J9" s="235">
        <v>1</v>
      </c>
      <c r="K9" s="235">
        <v>31</v>
      </c>
      <c r="L9" s="235">
        <v>30</v>
      </c>
      <c r="M9" s="235">
        <v>1</v>
      </c>
      <c r="N9" s="235">
        <v>23</v>
      </c>
      <c r="O9" s="235">
        <v>22</v>
      </c>
      <c r="P9" s="235">
        <v>1</v>
      </c>
    </row>
    <row r="10" spans="1:16" s="233" customFormat="1" ht="28.35" customHeight="1">
      <c r="A10" s="234" t="s">
        <v>795</v>
      </c>
      <c r="B10" s="235">
        <v>12</v>
      </c>
      <c r="C10" s="235">
        <v>12</v>
      </c>
      <c r="D10" s="235">
        <v>0</v>
      </c>
      <c r="E10" s="235">
        <v>5</v>
      </c>
      <c r="F10" s="235">
        <v>5</v>
      </c>
      <c r="G10" s="235">
        <v>0</v>
      </c>
      <c r="H10" s="235">
        <v>12</v>
      </c>
      <c r="I10" s="235">
        <v>11</v>
      </c>
      <c r="J10" s="235">
        <v>1</v>
      </c>
      <c r="K10" s="235">
        <v>11</v>
      </c>
      <c r="L10" s="235">
        <v>11</v>
      </c>
      <c r="M10" s="235">
        <v>0</v>
      </c>
      <c r="N10" s="235">
        <v>11</v>
      </c>
      <c r="O10" s="235">
        <v>10</v>
      </c>
      <c r="P10" s="235">
        <v>1</v>
      </c>
    </row>
    <row r="11" spans="1:16" ht="28.35" customHeight="1">
      <c r="A11" s="189" t="s">
        <v>796</v>
      </c>
      <c r="B11" s="137">
        <v>11</v>
      </c>
      <c r="C11" s="137">
        <v>7</v>
      </c>
      <c r="D11" s="137">
        <v>4</v>
      </c>
      <c r="E11" s="137">
        <v>13</v>
      </c>
      <c r="F11" s="137">
        <v>9</v>
      </c>
      <c r="G11" s="137">
        <v>4</v>
      </c>
      <c r="H11" s="137">
        <v>8</v>
      </c>
      <c r="I11" s="137">
        <v>6</v>
      </c>
      <c r="J11" s="137">
        <v>2</v>
      </c>
      <c r="K11" s="137">
        <v>14</v>
      </c>
      <c r="L11" s="137">
        <v>12</v>
      </c>
      <c r="M11" s="137">
        <v>2</v>
      </c>
      <c r="N11" s="137">
        <v>9</v>
      </c>
      <c r="O11" s="137">
        <v>6</v>
      </c>
      <c r="P11" s="137">
        <v>3</v>
      </c>
    </row>
    <row r="12" spans="1:16" ht="28.35" customHeight="1">
      <c r="A12" s="189" t="s">
        <v>797</v>
      </c>
      <c r="B12" s="137">
        <v>4</v>
      </c>
      <c r="C12" s="137">
        <v>4</v>
      </c>
      <c r="D12" s="137">
        <v>0</v>
      </c>
      <c r="E12" s="137">
        <v>5</v>
      </c>
      <c r="F12" s="137">
        <v>5</v>
      </c>
      <c r="G12" s="137">
        <v>0</v>
      </c>
      <c r="H12" s="137">
        <v>4</v>
      </c>
      <c r="I12" s="137">
        <v>4</v>
      </c>
      <c r="J12" s="137">
        <v>0</v>
      </c>
      <c r="K12" s="137">
        <v>6</v>
      </c>
      <c r="L12" s="137">
        <v>6</v>
      </c>
      <c r="M12" s="137">
        <v>0</v>
      </c>
      <c r="N12" s="137">
        <v>6</v>
      </c>
      <c r="O12" s="137">
        <v>6</v>
      </c>
      <c r="P12" s="137">
        <v>0</v>
      </c>
    </row>
    <row r="13" spans="1:16" ht="27.75" customHeight="1">
      <c r="A13" s="189" t="s">
        <v>798</v>
      </c>
      <c r="B13" s="137">
        <v>0</v>
      </c>
      <c r="C13" s="137">
        <v>0</v>
      </c>
      <c r="D13" s="137">
        <v>0</v>
      </c>
      <c r="E13" s="137">
        <v>6</v>
      </c>
      <c r="F13" s="137">
        <v>5</v>
      </c>
      <c r="G13" s="137">
        <v>1</v>
      </c>
      <c r="H13" s="137">
        <v>2</v>
      </c>
      <c r="I13" s="137">
        <v>2</v>
      </c>
      <c r="J13" s="137">
        <v>0</v>
      </c>
      <c r="K13" s="137">
        <v>3</v>
      </c>
      <c r="L13" s="137">
        <v>3</v>
      </c>
      <c r="M13" s="137">
        <v>0</v>
      </c>
      <c r="N13" s="137">
        <v>3</v>
      </c>
      <c r="O13" s="137">
        <v>3</v>
      </c>
      <c r="P13" s="137">
        <v>0</v>
      </c>
    </row>
    <row r="14" spans="1:16" ht="28.35" customHeight="1">
      <c r="A14" s="189" t="s">
        <v>799</v>
      </c>
      <c r="B14" s="137">
        <v>2</v>
      </c>
      <c r="C14" s="137">
        <v>2</v>
      </c>
      <c r="D14" s="137">
        <v>0</v>
      </c>
      <c r="E14" s="137">
        <v>5</v>
      </c>
      <c r="F14" s="137">
        <v>5</v>
      </c>
      <c r="G14" s="137">
        <v>0</v>
      </c>
      <c r="H14" s="137">
        <v>7</v>
      </c>
      <c r="I14" s="137">
        <v>7</v>
      </c>
      <c r="J14" s="137">
        <v>0</v>
      </c>
      <c r="K14" s="137">
        <v>6</v>
      </c>
      <c r="L14" s="137">
        <v>6</v>
      </c>
      <c r="M14" s="137">
        <v>0</v>
      </c>
      <c r="N14" s="137">
        <v>3</v>
      </c>
      <c r="O14" s="137">
        <v>3</v>
      </c>
      <c r="P14" s="137">
        <v>0</v>
      </c>
    </row>
    <row r="15" spans="1:16" ht="28.35" customHeight="1">
      <c r="A15" s="189" t="s">
        <v>800</v>
      </c>
      <c r="B15" s="137">
        <v>0</v>
      </c>
      <c r="C15" s="137">
        <v>0</v>
      </c>
      <c r="D15" s="137">
        <v>0</v>
      </c>
      <c r="E15" s="137">
        <v>0</v>
      </c>
      <c r="F15" s="137">
        <v>0</v>
      </c>
      <c r="G15" s="137">
        <v>0</v>
      </c>
      <c r="H15" s="137">
        <v>0</v>
      </c>
      <c r="I15" s="137">
        <v>0</v>
      </c>
      <c r="J15" s="137">
        <v>0</v>
      </c>
      <c r="K15" s="137">
        <v>0</v>
      </c>
      <c r="L15" s="137">
        <v>0</v>
      </c>
      <c r="M15" s="137">
        <v>0</v>
      </c>
      <c r="N15" s="137">
        <v>0</v>
      </c>
      <c r="O15" s="137">
        <v>0</v>
      </c>
      <c r="P15" s="137">
        <v>0</v>
      </c>
    </row>
    <row r="16" spans="1:16" ht="28.35" customHeight="1">
      <c r="A16" s="189" t="s">
        <v>801</v>
      </c>
      <c r="B16" s="137">
        <v>0</v>
      </c>
      <c r="C16" s="137">
        <v>0</v>
      </c>
      <c r="D16" s="137">
        <v>0</v>
      </c>
      <c r="E16" s="137">
        <v>0</v>
      </c>
      <c r="F16" s="137">
        <v>0</v>
      </c>
      <c r="G16" s="137">
        <v>0</v>
      </c>
      <c r="H16" s="137">
        <v>1</v>
      </c>
      <c r="I16" s="137">
        <v>1</v>
      </c>
      <c r="J16" s="137">
        <v>0</v>
      </c>
      <c r="K16" s="137">
        <v>2</v>
      </c>
      <c r="L16" s="137">
        <v>1</v>
      </c>
      <c r="M16" s="137">
        <v>1</v>
      </c>
      <c r="N16" s="137">
        <v>0</v>
      </c>
      <c r="O16" s="137">
        <v>0</v>
      </c>
      <c r="P16" s="137">
        <v>0</v>
      </c>
    </row>
    <row r="17" spans="1:16" ht="28.35" customHeight="1">
      <c r="A17" s="189" t="s">
        <v>670</v>
      </c>
      <c r="B17" s="137">
        <v>58</v>
      </c>
      <c r="C17" s="137">
        <v>54</v>
      </c>
      <c r="D17" s="137">
        <v>4</v>
      </c>
      <c r="E17" s="137">
        <v>53</v>
      </c>
      <c r="F17" s="137">
        <v>51</v>
      </c>
      <c r="G17" s="137">
        <v>2</v>
      </c>
      <c r="H17" s="137">
        <v>40</v>
      </c>
      <c r="I17" s="137">
        <v>35</v>
      </c>
      <c r="J17" s="137">
        <v>5</v>
      </c>
      <c r="K17" s="137">
        <v>52</v>
      </c>
      <c r="L17" s="137">
        <v>45</v>
      </c>
      <c r="M17" s="137">
        <v>7</v>
      </c>
      <c r="N17" s="137">
        <v>54</v>
      </c>
      <c r="O17" s="137">
        <v>49</v>
      </c>
      <c r="P17" s="137">
        <v>5</v>
      </c>
    </row>
    <row r="18" spans="1:16" ht="28.35" customHeight="1">
      <c r="A18" s="148" t="s">
        <v>802</v>
      </c>
      <c r="B18" s="147">
        <v>79</v>
      </c>
      <c r="C18" s="147">
        <v>61</v>
      </c>
      <c r="D18" s="147">
        <v>18</v>
      </c>
      <c r="E18" s="147">
        <v>37</v>
      </c>
      <c r="F18" s="147">
        <v>32</v>
      </c>
      <c r="G18" s="147">
        <v>5</v>
      </c>
      <c r="H18" s="147">
        <v>33</v>
      </c>
      <c r="I18" s="147">
        <v>29</v>
      </c>
      <c r="J18" s="147">
        <v>4</v>
      </c>
      <c r="K18" s="147">
        <v>27</v>
      </c>
      <c r="L18" s="147">
        <v>23</v>
      </c>
      <c r="M18" s="147">
        <v>4</v>
      </c>
      <c r="N18" s="147">
        <v>17</v>
      </c>
      <c r="O18" s="147">
        <v>16</v>
      </c>
      <c r="P18" s="147">
        <v>1</v>
      </c>
    </row>
    <row r="19" spans="1:16" ht="14.25" customHeight="1">
      <c r="A19" s="82" t="s">
        <v>433</v>
      </c>
      <c r="B19" s="91"/>
      <c r="C19" s="91"/>
      <c r="D19" s="91"/>
      <c r="E19" s="82"/>
      <c r="F19" s="82"/>
      <c r="G19" s="82"/>
      <c r="H19" s="93"/>
      <c r="I19" s="93"/>
      <c r="J19" s="93"/>
      <c r="K19" s="82"/>
      <c r="L19" s="82"/>
      <c r="M19" s="82"/>
      <c r="N19" s="82"/>
      <c r="O19" s="82"/>
      <c r="P19" s="82"/>
    </row>
    <row r="20" spans="1:16" ht="46.5" customHeight="1">
      <c r="A20" s="453" t="s">
        <v>803</v>
      </c>
      <c r="B20" s="453"/>
      <c r="C20" s="453"/>
      <c r="D20" s="453"/>
      <c r="E20" s="453"/>
      <c r="F20" s="453"/>
      <c r="G20" s="453"/>
      <c r="H20" s="453"/>
      <c r="I20" s="453"/>
      <c r="J20" s="453"/>
      <c r="K20" s="453"/>
      <c r="L20" s="453"/>
      <c r="M20" s="453"/>
      <c r="N20" s="453"/>
      <c r="O20" s="453"/>
      <c r="P20" s="453"/>
    </row>
  </sheetData>
  <mergeCells count="8">
    <mergeCell ref="A20:P20"/>
    <mergeCell ref="A1:P1"/>
    <mergeCell ref="A2:A3"/>
    <mergeCell ref="B2:D2"/>
    <mergeCell ref="E2:G2"/>
    <mergeCell ref="H2:J2"/>
    <mergeCell ref="K2:M2"/>
    <mergeCell ref="N2:P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0"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G19"/>
  <sheetViews>
    <sheetView showGridLines="0" zoomScale="75" zoomScaleNormal="90" workbookViewId="0">
      <selection activeCell="S20" sqref="S20"/>
    </sheetView>
  </sheetViews>
  <sheetFormatPr defaultColWidth="8.875" defaultRowHeight="12.75"/>
  <cols>
    <col min="1" max="1" width="12.625" style="104" customWidth="1"/>
    <col min="2" max="2" width="6.625" style="104" customWidth="1"/>
    <col min="3" max="7" width="20.625" style="104" customWidth="1"/>
    <col min="8" max="256" width="9" style="104"/>
    <col min="257" max="257" width="12.625" style="104" customWidth="1"/>
    <col min="258" max="258" width="6.625" style="104" customWidth="1"/>
    <col min="259" max="263" width="20.625" style="104" customWidth="1"/>
    <col min="264" max="512" width="9" style="104"/>
    <col min="513" max="513" width="12.625" style="104" customWidth="1"/>
    <col min="514" max="514" width="6.625" style="104" customWidth="1"/>
    <col min="515" max="519" width="20.625" style="104" customWidth="1"/>
    <col min="520" max="768" width="9" style="104"/>
    <col min="769" max="769" width="12.625" style="104" customWidth="1"/>
    <col min="770" max="770" width="6.625" style="104" customWidth="1"/>
    <col min="771" max="775" width="20.625" style="104" customWidth="1"/>
    <col min="776" max="1024" width="9" style="104"/>
    <col min="1025" max="1025" width="12.625" style="104" customWidth="1"/>
    <col min="1026" max="1026" width="6.625" style="104" customWidth="1"/>
    <col min="1027" max="1031" width="20.625" style="104" customWidth="1"/>
    <col min="1032" max="1280" width="9" style="104"/>
    <col min="1281" max="1281" width="12.625" style="104" customWidth="1"/>
    <col min="1282" max="1282" width="6.625" style="104" customWidth="1"/>
    <col min="1283" max="1287" width="20.625" style="104" customWidth="1"/>
    <col min="1288" max="1536" width="9" style="104"/>
    <col min="1537" max="1537" width="12.625" style="104" customWidth="1"/>
    <col min="1538" max="1538" width="6.625" style="104" customWidth="1"/>
    <col min="1539" max="1543" width="20.625" style="104" customWidth="1"/>
    <col min="1544" max="1792" width="9" style="104"/>
    <col min="1793" max="1793" width="12.625" style="104" customWidth="1"/>
    <col min="1794" max="1794" width="6.625" style="104" customWidth="1"/>
    <col min="1795" max="1799" width="20.625" style="104" customWidth="1"/>
    <col min="1800" max="2048" width="9" style="104"/>
    <col min="2049" max="2049" width="12.625" style="104" customWidth="1"/>
    <col min="2050" max="2050" width="6.625" style="104" customWidth="1"/>
    <col min="2051" max="2055" width="20.625" style="104" customWidth="1"/>
    <col min="2056" max="2304" width="9" style="104"/>
    <col min="2305" max="2305" width="12.625" style="104" customWidth="1"/>
    <col min="2306" max="2306" width="6.625" style="104" customWidth="1"/>
    <col min="2307" max="2311" width="20.625" style="104" customWidth="1"/>
    <col min="2312" max="2560" width="9" style="104"/>
    <col min="2561" max="2561" width="12.625" style="104" customWidth="1"/>
    <col min="2562" max="2562" width="6.625" style="104" customWidth="1"/>
    <col min="2563" max="2567" width="20.625" style="104" customWidth="1"/>
    <col min="2568" max="2816" width="9" style="104"/>
    <col min="2817" max="2817" width="12.625" style="104" customWidth="1"/>
    <col min="2818" max="2818" width="6.625" style="104" customWidth="1"/>
    <col min="2819" max="2823" width="20.625" style="104" customWidth="1"/>
    <col min="2824" max="3072" width="9" style="104"/>
    <col min="3073" max="3073" width="12.625" style="104" customWidth="1"/>
    <col min="3074" max="3074" width="6.625" style="104" customWidth="1"/>
    <col min="3075" max="3079" width="20.625" style="104" customWidth="1"/>
    <col min="3080" max="3328" width="9" style="104"/>
    <col min="3329" max="3329" width="12.625" style="104" customWidth="1"/>
    <col min="3330" max="3330" width="6.625" style="104" customWidth="1"/>
    <col min="3331" max="3335" width="20.625" style="104" customWidth="1"/>
    <col min="3336" max="3584" width="9" style="104"/>
    <col min="3585" max="3585" width="12.625" style="104" customWidth="1"/>
    <col min="3586" max="3586" width="6.625" style="104" customWidth="1"/>
    <col min="3587" max="3591" width="20.625" style="104" customWidth="1"/>
    <col min="3592" max="3840" width="9" style="104"/>
    <col min="3841" max="3841" width="12.625" style="104" customWidth="1"/>
    <col min="3842" max="3842" width="6.625" style="104" customWidth="1"/>
    <col min="3843" max="3847" width="20.625" style="104" customWidth="1"/>
    <col min="3848" max="4096" width="9" style="104"/>
    <col min="4097" max="4097" width="12.625" style="104" customWidth="1"/>
    <col min="4098" max="4098" width="6.625" style="104" customWidth="1"/>
    <col min="4099" max="4103" width="20.625" style="104" customWidth="1"/>
    <col min="4104" max="4352" width="9" style="104"/>
    <col min="4353" max="4353" width="12.625" style="104" customWidth="1"/>
    <col min="4354" max="4354" width="6.625" style="104" customWidth="1"/>
    <col min="4355" max="4359" width="20.625" style="104" customWidth="1"/>
    <col min="4360" max="4608" width="9" style="104"/>
    <col min="4609" max="4609" width="12.625" style="104" customWidth="1"/>
    <col min="4610" max="4610" width="6.625" style="104" customWidth="1"/>
    <col min="4611" max="4615" width="20.625" style="104" customWidth="1"/>
    <col min="4616" max="4864" width="9" style="104"/>
    <col min="4865" max="4865" width="12.625" style="104" customWidth="1"/>
    <col min="4866" max="4866" width="6.625" style="104" customWidth="1"/>
    <col min="4867" max="4871" width="20.625" style="104" customWidth="1"/>
    <col min="4872" max="5120" width="9" style="104"/>
    <col min="5121" max="5121" width="12.625" style="104" customWidth="1"/>
    <col min="5122" max="5122" width="6.625" style="104" customWidth="1"/>
    <col min="5123" max="5127" width="20.625" style="104" customWidth="1"/>
    <col min="5128" max="5376" width="9" style="104"/>
    <col min="5377" max="5377" width="12.625" style="104" customWidth="1"/>
    <col min="5378" max="5378" width="6.625" style="104" customWidth="1"/>
    <col min="5379" max="5383" width="20.625" style="104" customWidth="1"/>
    <col min="5384" max="5632" width="9" style="104"/>
    <col min="5633" max="5633" width="12.625" style="104" customWidth="1"/>
    <col min="5634" max="5634" width="6.625" style="104" customWidth="1"/>
    <col min="5635" max="5639" width="20.625" style="104" customWidth="1"/>
    <col min="5640" max="5888" width="9" style="104"/>
    <col min="5889" max="5889" width="12.625" style="104" customWidth="1"/>
    <col min="5890" max="5890" width="6.625" style="104" customWidth="1"/>
    <col min="5891" max="5895" width="20.625" style="104" customWidth="1"/>
    <col min="5896" max="6144" width="9" style="104"/>
    <col min="6145" max="6145" width="12.625" style="104" customWidth="1"/>
    <col min="6146" max="6146" width="6.625" style="104" customWidth="1"/>
    <col min="6147" max="6151" width="20.625" style="104" customWidth="1"/>
    <col min="6152" max="6400" width="9" style="104"/>
    <col min="6401" max="6401" width="12.625" style="104" customWidth="1"/>
    <col min="6402" max="6402" width="6.625" style="104" customWidth="1"/>
    <col min="6403" max="6407" width="20.625" style="104" customWidth="1"/>
    <col min="6408" max="6656" width="9" style="104"/>
    <col min="6657" max="6657" width="12.625" style="104" customWidth="1"/>
    <col min="6658" max="6658" width="6.625" style="104" customWidth="1"/>
    <col min="6659" max="6663" width="20.625" style="104" customWidth="1"/>
    <col min="6664" max="6912" width="9" style="104"/>
    <col min="6913" max="6913" width="12.625" style="104" customWidth="1"/>
    <col min="6914" max="6914" width="6.625" style="104" customWidth="1"/>
    <col min="6915" max="6919" width="20.625" style="104" customWidth="1"/>
    <col min="6920" max="7168" width="9" style="104"/>
    <col min="7169" max="7169" width="12.625" style="104" customWidth="1"/>
    <col min="7170" max="7170" width="6.625" style="104" customWidth="1"/>
    <col min="7171" max="7175" width="20.625" style="104" customWidth="1"/>
    <col min="7176" max="7424" width="9" style="104"/>
    <col min="7425" max="7425" width="12.625" style="104" customWidth="1"/>
    <col min="7426" max="7426" width="6.625" style="104" customWidth="1"/>
    <col min="7427" max="7431" width="20.625" style="104" customWidth="1"/>
    <col min="7432" max="7680" width="9" style="104"/>
    <col min="7681" max="7681" width="12.625" style="104" customWidth="1"/>
    <col min="7682" max="7682" width="6.625" style="104" customWidth="1"/>
    <col min="7683" max="7687" width="20.625" style="104" customWidth="1"/>
    <col min="7688" max="7936" width="9" style="104"/>
    <col min="7937" max="7937" width="12.625" style="104" customWidth="1"/>
    <col min="7938" max="7938" width="6.625" style="104" customWidth="1"/>
    <col min="7939" max="7943" width="20.625" style="104" customWidth="1"/>
    <col min="7944" max="8192" width="9" style="104"/>
    <col min="8193" max="8193" width="12.625" style="104" customWidth="1"/>
    <col min="8194" max="8194" width="6.625" style="104" customWidth="1"/>
    <col min="8195" max="8199" width="20.625" style="104" customWidth="1"/>
    <col min="8200" max="8448" width="9" style="104"/>
    <col min="8449" max="8449" width="12.625" style="104" customWidth="1"/>
    <col min="8450" max="8450" width="6.625" style="104" customWidth="1"/>
    <col min="8451" max="8455" width="20.625" style="104" customWidth="1"/>
    <col min="8456" max="8704" width="9" style="104"/>
    <col min="8705" max="8705" width="12.625" style="104" customWidth="1"/>
    <col min="8706" max="8706" width="6.625" style="104" customWidth="1"/>
    <col min="8707" max="8711" width="20.625" style="104" customWidth="1"/>
    <col min="8712" max="8960" width="9" style="104"/>
    <col min="8961" max="8961" width="12.625" style="104" customWidth="1"/>
    <col min="8962" max="8962" width="6.625" style="104" customWidth="1"/>
    <col min="8963" max="8967" width="20.625" style="104" customWidth="1"/>
    <col min="8968" max="9216" width="9" style="104"/>
    <col min="9217" max="9217" width="12.625" style="104" customWidth="1"/>
    <col min="9218" max="9218" width="6.625" style="104" customWidth="1"/>
    <col min="9219" max="9223" width="20.625" style="104" customWidth="1"/>
    <col min="9224" max="9472" width="9" style="104"/>
    <col min="9473" max="9473" width="12.625" style="104" customWidth="1"/>
    <col min="9474" max="9474" width="6.625" style="104" customWidth="1"/>
    <col min="9475" max="9479" width="20.625" style="104" customWidth="1"/>
    <col min="9480" max="9728" width="9" style="104"/>
    <col min="9729" max="9729" width="12.625" style="104" customWidth="1"/>
    <col min="9730" max="9730" width="6.625" style="104" customWidth="1"/>
    <col min="9731" max="9735" width="20.625" style="104" customWidth="1"/>
    <col min="9736" max="9984" width="9" style="104"/>
    <col min="9985" max="9985" width="12.625" style="104" customWidth="1"/>
    <col min="9986" max="9986" width="6.625" style="104" customWidth="1"/>
    <col min="9987" max="9991" width="20.625" style="104" customWidth="1"/>
    <col min="9992" max="10240" width="9" style="104"/>
    <col min="10241" max="10241" width="12.625" style="104" customWidth="1"/>
    <col min="10242" max="10242" width="6.625" style="104" customWidth="1"/>
    <col min="10243" max="10247" width="20.625" style="104" customWidth="1"/>
    <col min="10248" max="10496" width="9" style="104"/>
    <col min="10497" max="10497" width="12.625" style="104" customWidth="1"/>
    <col min="10498" max="10498" width="6.625" style="104" customWidth="1"/>
    <col min="10499" max="10503" width="20.625" style="104" customWidth="1"/>
    <col min="10504" max="10752" width="9" style="104"/>
    <col min="10753" max="10753" width="12.625" style="104" customWidth="1"/>
    <col min="10754" max="10754" width="6.625" style="104" customWidth="1"/>
    <col min="10755" max="10759" width="20.625" style="104" customWidth="1"/>
    <col min="10760" max="11008" width="9" style="104"/>
    <col min="11009" max="11009" width="12.625" style="104" customWidth="1"/>
    <col min="11010" max="11010" width="6.625" style="104" customWidth="1"/>
    <col min="11011" max="11015" width="20.625" style="104" customWidth="1"/>
    <col min="11016" max="11264" width="9" style="104"/>
    <col min="11265" max="11265" width="12.625" style="104" customWidth="1"/>
    <col min="11266" max="11266" width="6.625" style="104" customWidth="1"/>
    <col min="11267" max="11271" width="20.625" style="104" customWidth="1"/>
    <col min="11272" max="11520" width="9" style="104"/>
    <col min="11521" max="11521" width="12.625" style="104" customWidth="1"/>
    <col min="11522" max="11522" width="6.625" style="104" customWidth="1"/>
    <col min="11523" max="11527" width="20.625" style="104" customWidth="1"/>
    <col min="11528" max="11776" width="9" style="104"/>
    <col min="11777" max="11777" width="12.625" style="104" customWidth="1"/>
    <col min="11778" max="11778" width="6.625" style="104" customWidth="1"/>
    <col min="11779" max="11783" width="20.625" style="104" customWidth="1"/>
    <col min="11784" max="12032" width="9" style="104"/>
    <col min="12033" max="12033" width="12.625" style="104" customWidth="1"/>
    <col min="12034" max="12034" width="6.625" style="104" customWidth="1"/>
    <col min="12035" max="12039" width="20.625" style="104" customWidth="1"/>
    <col min="12040" max="12288" width="9" style="104"/>
    <col min="12289" max="12289" width="12.625" style="104" customWidth="1"/>
    <col min="12290" max="12290" width="6.625" style="104" customWidth="1"/>
    <col min="12291" max="12295" width="20.625" style="104" customWidth="1"/>
    <col min="12296" max="12544" width="9" style="104"/>
    <col min="12545" max="12545" width="12.625" style="104" customWidth="1"/>
    <col min="12546" max="12546" width="6.625" style="104" customWidth="1"/>
    <col min="12547" max="12551" width="20.625" style="104" customWidth="1"/>
    <col min="12552" max="12800" width="9" style="104"/>
    <col min="12801" max="12801" width="12.625" style="104" customWidth="1"/>
    <col min="12802" max="12802" width="6.625" style="104" customWidth="1"/>
    <col min="12803" max="12807" width="20.625" style="104" customWidth="1"/>
    <col min="12808" max="13056" width="9" style="104"/>
    <col min="13057" max="13057" width="12.625" style="104" customWidth="1"/>
    <col min="13058" max="13058" width="6.625" style="104" customWidth="1"/>
    <col min="13059" max="13063" width="20.625" style="104" customWidth="1"/>
    <col min="13064" max="13312" width="9" style="104"/>
    <col min="13313" max="13313" width="12.625" style="104" customWidth="1"/>
    <col min="13314" max="13314" width="6.625" style="104" customWidth="1"/>
    <col min="13315" max="13319" width="20.625" style="104" customWidth="1"/>
    <col min="13320" max="13568" width="9" style="104"/>
    <col min="13569" max="13569" width="12.625" style="104" customWidth="1"/>
    <col min="13570" max="13570" width="6.625" style="104" customWidth="1"/>
    <col min="13571" max="13575" width="20.625" style="104" customWidth="1"/>
    <col min="13576" max="13824" width="9" style="104"/>
    <col min="13825" max="13825" width="12.625" style="104" customWidth="1"/>
    <col min="13826" max="13826" width="6.625" style="104" customWidth="1"/>
    <col min="13827" max="13831" width="20.625" style="104" customWidth="1"/>
    <col min="13832" max="14080" width="9" style="104"/>
    <col min="14081" max="14081" width="12.625" style="104" customWidth="1"/>
    <col min="14082" max="14082" width="6.625" style="104" customWidth="1"/>
    <col min="14083" max="14087" width="20.625" style="104" customWidth="1"/>
    <col min="14088" max="14336" width="9" style="104"/>
    <col min="14337" max="14337" width="12.625" style="104" customWidth="1"/>
    <col min="14338" max="14338" width="6.625" style="104" customWidth="1"/>
    <col min="14339" max="14343" width="20.625" style="104" customWidth="1"/>
    <col min="14344" max="14592" width="9" style="104"/>
    <col min="14593" max="14593" width="12.625" style="104" customWidth="1"/>
    <col min="14594" max="14594" width="6.625" style="104" customWidth="1"/>
    <col min="14595" max="14599" width="20.625" style="104" customWidth="1"/>
    <col min="14600" max="14848" width="9" style="104"/>
    <col min="14849" max="14849" width="12.625" style="104" customWidth="1"/>
    <col min="14850" max="14850" width="6.625" style="104" customWidth="1"/>
    <col min="14851" max="14855" width="20.625" style="104" customWidth="1"/>
    <col min="14856" max="15104" width="9" style="104"/>
    <col min="15105" max="15105" width="12.625" style="104" customWidth="1"/>
    <col min="15106" max="15106" width="6.625" style="104" customWidth="1"/>
    <col min="15107" max="15111" width="20.625" style="104" customWidth="1"/>
    <col min="15112" max="15360" width="9" style="104"/>
    <col min="15361" max="15361" width="12.625" style="104" customWidth="1"/>
    <col min="15362" max="15362" width="6.625" style="104" customWidth="1"/>
    <col min="15363" max="15367" width="20.625" style="104" customWidth="1"/>
    <col min="15368" max="15616" width="9" style="104"/>
    <col min="15617" max="15617" width="12.625" style="104" customWidth="1"/>
    <col min="15618" max="15618" width="6.625" style="104" customWidth="1"/>
    <col min="15619" max="15623" width="20.625" style="104" customWidth="1"/>
    <col min="15624" max="15872" width="9" style="104"/>
    <col min="15873" max="15873" width="12.625" style="104" customWidth="1"/>
    <col min="15874" max="15874" width="6.625" style="104" customWidth="1"/>
    <col min="15875" max="15879" width="20.625" style="104" customWidth="1"/>
    <col min="15880" max="16128" width="9" style="104"/>
    <col min="16129" max="16129" width="12.625" style="104" customWidth="1"/>
    <col min="16130" max="16130" width="6.625" style="104" customWidth="1"/>
    <col min="16131" max="16135" width="20.625" style="104" customWidth="1"/>
    <col min="16136" max="16384" width="9" style="104"/>
  </cols>
  <sheetData>
    <row r="1" spans="1:7" ht="29.25" customHeight="1">
      <c r="A1" s="418" t="s">
        <v>804</v>
      </c>
      <c r="B1" s="418"/>
      <c r="C1" s="418"/>
      <c r="D1" s="418"/>
      <c r="E1" s="418"/>
      <c r="F1" s="418"/>
      <c r="G1" s="428"/>
    </row>
    <row r="2" spans="1:7" ht="52.5" customHeight="1">
      <c r="A2" s="411"/>
      <c r="B2" s="412"/>
      <c r="C2" s="149" t="s">
        <v>805</v>
      </c>
      <c r="D2" s="149" t="s">
        <v>806</v>
      </c>
      <c r="E2" s="149" t="s">
        <v>807</v>
      </c>
      <c r="F2" s="149" t="s">
        <v>808</v>
      </c>
      <c r="G2" s="149" t="s">
        <v>809</v>
      </c>
    </row>
    <row r="3" spans="1:7" s="105" customFormat="1" ht="60" customHeight="1">
      <c r="A3" s="420" t="s">
        <v>360</v>
      </c>
      <c r="B3" s="145" t="s">
        <v>364</v>
      </c>
      <c r="C3" s="138">
        <v>156</v>
      </c>
      <c r="D3" s="138">
        <v>160</v>
      </c>
      <c r="E3" s="138">
        <v>140</v>
      </c>
      <c r="F3" s="138">
        <v>107</v>
      </c>
      <c r="G3" s="150">
        <v>102</v>
      </c>
    </row>
    <row r="4" spans="1:7" s="106" customFormat="1" ht="60" customHeight="1">
      <c r="A4" s="420"/>
      <c r="B4" s="135" t="s">
        <v>365</v>
      </c>
      <c r="C4" s="139">
        <f>SUM(C6,C8)</f>
        <v>99.999999999999986</v>
      </c>
      <c r="D4" s="139">
        <f t="shared" ref="D4:G4" si="0">SUM(D6,D8)</f>
        <v>100</v>
      </c>
      <c r="E4" s="139">
        <f t="shared" si="0"/>
        <v>100</v>
      </c>
      <c r="F4" s="139">
        <f t="shared" si="0"/>
        <v>100</v>
      </c>
      <c r="G4" s="139">
        <f t="shared" si="0"/>
        <v>99.999999999999986</v>
      </c>
    </row>
    <row r="5" spans="1:7" s="105" customFormat="1" ht="60" customHeight="1">
      <c r="A5" s="455" t="s">
        <v>366</v>
      </c>
      <c r="B5" s="145" t="s">
        <v>364</v>
      </c>
      <c r="C5" s="137">
        <v>148</v>
      </c>
      <c r="D5" s="137">
        <v>156</v>
      </c>
      <c r="E5" s="137">
        <v>135</v>
      </c>
      <c r="F5" s="137">
        <v>105</v>
      </c>
      <c r="G5" s="151">
        <v>100</v>
      </c>
    </row>
    <row r="6" spans="1:7" s="106" customFormat="1" ht="60" customHeight="1">
      <c r="A6" s="455"/>
      <c r="B6" s="135" t="s">
        <v>365</v>
      </c>
      <c r="C6" s="139">
        <f>IFERROR(C5/C$3*100,"-")</f>
        <v>94.871794871794862</v>
      </c>
      <c r="D6" s="139">
        <f t="shared" ref="D6:G6" si="1">IFERROR(D5/D$3*100,"-")</f>
        <v>97.5</v>
      </c>
      <c r="E6" s="139">
        <f t="shared" si="1"/>
        <v>96.428571428571431</v>
      </c>
      <c r="F6" s="139">
        <f t="shared" si="1"/>
        <v>98.130841121495322</v>
      </c>
      <c r="G6" s="139">
        <f t="shared" si="1"/>
        <v>98.039215686274503</v>
      </c>
    </row>
    <row r="7" spans="1:7" s="105" customFormat="1" ht="60" customHeight="1">
      <c r="A7" s="456" t="s">
        <v>367</v>
      </c>
      <c r="B7" s="145" t="s">
        <v>364</v>
      </c>
      <c r="C7" s="137">
        <v>8</v>
      </c>
      <c r="D7" s="137">
        <v>4</v>
      </c>
      <c r="E7" s="137">
        <v>5</v>
      </c>
      <c r="F7" s="137">
        <v>2</v>
      </c>
      <c r="G7" s="151">
        <v>2</v>
      </c>
    </row>
    <row r="8" spans="1:7" s="106" customFormat="1" ht="60" customHeight="1">
      <c r="A8" s="457"/>
      <c r="B8" s="136" t="s">
        <v>365</v>
      </c>
      <c r="C8" s="140">
        <f>IFERROR(C7/C$3*100,"-")</f>
        <v>5.1282051282051277</v>
      </c>
      <c r="D8" s="140">
        <f t="shared" ref="D8:G8" si="2">IFERROR(D7/D$3*100,"-")</f>
        <v>2.5</v>
      </c>
      <c r="E8" s="140">
        <f t="shared" si="2"/>
        <v>3.5714285714285712</v>
      </c>
      <c r="F8" s="140">
        <f t="shared" si="2"/>
        <v>1.8691588785046727</v>
      </c>
      <c r="G8" s="140">
        <f t="shared" si="2"/>
        <v>1.9607843137254901</v>
      </c>
    </row>
    <row r="9" spans="1:7">
      <c r="A9" s="82" t="s">
        <v>433</v>
      </c>
      <c r="B9" s="83"/>
      <c r="C9" s="84"/>
      <c r="D9" s="82"/>
      <c r="E9" s="82"/>
      <c r="F9" s="82"/>
      <c r="G9" s="82"/>
    </row>
    <row r="10" spans="1:7" ht="15.75">
      <c r="A10" s="82"/>
      <c r="B10" s="86"/>
      <c r="C10" s="87"/>
      <c r="D10" s="107"/>
      <c r="E10" s="107"/>
      <c r="F10" s="107"/>
      <c r="G10" s="107"/>
    </row>
    <row r="11" spans="1:7" ht="15.75">
      <c r="A11" s="107"/>
      <c r="B11" s="88"/>
      <c r="C11" s="107"/>
      <c r="D11" s="107"/>
      <c r="E11" s="107"/>
      <c r="F11" s="107"/>
      <c r="G11" s="107"/>
    </row>
    <row r="12" spans="1:7" ht="15.75">
      <c r="B12" s="86"/>
    </row>
    <row r="13" spans="1:7" ht="15.75">
      <c r="B13" s="88"/>
    </row>
    <row r="14" spans="1:7" ht="15.75">
      <c r="B14" s="86"/>
    </row>
    <row r="15" spans="1:7" ht="15.75">
      <c r="B15" s="88"/>
    </row>
    <row r="16" spans="1:7" ht="15.75">
      <c r="B16" s="86"/>
    </row>
    <row r="17" spans="2:2" ht="15.75">
      <c r="B17" s="88"/>
    </row>
    <row r="18" spans="2:2" ht="15.75">
      <c r="B18" s="86"/>
    </row>
    <row r="19" spans="2:2" ht="15.75">
      <c r="B19" s="88"/>
    </row>
  </sheetData>
  <mergeCells count="5">
    <mergeCell ref="A1:G1"/>
    <mergeCell ref="A2:B2"/>
    <mergeCell ref="A3:A4"/>
    <mergeCell ref="A5:A6"/>
    <mergeCell ref="A7:A8"/>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70"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E34"/>
  <sheetViews>
    <sheetView showGridLines="0" showRuler="0" zoomScaleNormal="100" zoomScalePageLayoutView="125" workbookViewId="0">
      <selection activeCell="F17" sqref="F17"/>
    </sheetView>
  </sheetViews>
  <sheetFormatPr defaultColWidth="8.875" defaultRowHeight="16.5"/>
  <cols>
    <col min="1" max="1" width="9.875" style="29" customWidth="1"/>
    <col min="2" max="3" width="10.375" style="29" customWidth="1"/>
    <col min="4" max="4" width="20.375" style="29" customWidth="1"/>
    <col min="5" max="5" width="10.5" style="29" customWidth="1"/>
    <col min="6" max="16384" width="8.875" style="29"/>
  </cols>
  <sheetData>
    <row r="1" spans="1:5" ht="30" customHeight="1">
      <c r="A1" s="329" t="s">
        <v>573</v>
      </c>
      <c r="B1" s="329"/>
      <c r="C1" s="329"/>
      <c r="D1" s="329"/>
      <c r="E1" s="329"/>
    </row>
    <row r="2" spans="1:5" ht="18.600000000000001" customHeight="1">
      <c r="A2" s="302" t="s">
        <v>39</v>
      </c>
      <c r="B2" s="341"/>
      <c r="C2" s="341"/>
      <c r="D2" s="341"/>
      <c r="E2" s="110">
        <v>363</v>
      </c>
    </row>
    <row r="3" spans="1:5" ht="18.600000000000001" customHeight="1">
      <c r="A3" s="331" t="s">
        <v>40</v>
      </c>
      <c r="B3" s="344" t="s">
        <v>6</v>
      </c>
      <c r="C3" s="344"/>
      <c r="D3" s="344"/>
      <c r="E3" s="76">
        <f>SUM(E4,E17:E24)</f>
        <v>387</v>
      </c>
    </row>
    <row r="4" spans="1:5" ht="18.600000000000001" customHeight="1">
      <c r="A4" s="342"/>
      <c r="B4" s="345" t="s">
        <v>389</v>
      </c>
      <c r="C4" s="346"/>
      <c r="D4" s="346"/>
      <c r="E4" s="27">
        <f>SUM(E5,E15:E16)</f>
        <v>367</v>
      </c>
    </row>
    <row r="5" spans="1:5" ht="18.600000000000001" customHeight="1">
      <c r="A5" s="342"/>
      <c r="B5" s="347" t="s">
        <v>390</v>
      </c>
      <c r="C5" s="348"/>
      <c r="D5" s="348"/>
      <c r="E5" s="27">
        <f>SUM(E6:E14)</f>
        <v>364</v>
      </c>
    </row>
    <row r="6" spans="1:5" ht="18.600000000000001" customHeight="1">
      <c r="A6" s="342"/>
      <c r="B6" s="349" t="s">
        <v>391</v>
      </c>
      <c r="C6" s="350"/>
      <c r="D6" s="350"/>
      <c r="E6" s="27">
        <v>28</v>
      </c>
    </row>
    <row r="7" spans="1:5" ht="18.600000000000001" customHeight="1">
      <c r="A7" s="342"/>
      <c r="B7" s="349" t="s">
        <v>392</v>
      </c>
      <c r="C7" s="350"/>
      <c r="D7" s="350"/>
      <c r="E7" s="27">
        <v>56</v>
      </c>
    </row>
    <row r="8" spans="1:5" ht="18.600000000000001" customHeight="1">
      <c r="A8" s="342"/>
      <c r="B8" s="349" t="s">
        <v>393</v>
      </c>
      <c r="C8" s="350"/>
      <c r="D8" s="350"/>
      <c r="E8" s="27">
        <v>186</v>
      </c>
    </row>
    <row r="9" spans="1:5" ht="18.600000000000001" customHeight="1">
      <c r="A9" s="342"/>
      <c r="B9" s="349" t="s">
        <v>394</v>
      </c>
      <c r="C9" s="350"/>
      <c r="D9" s="350"/>
      <c r="E9" s="27">
        <v>63</v>
      </c>
    </row>
    <row r="10" spans="1:5" ht="18.600000000000001" customHeight="1">
      <c r="A10" s="342"/>
      <c r="B10" s="349" t="s">
        <v>395</v>
      </c>
      <c r="C10" s="350"/>
      <c r="D10" s="350"/>
      <c r="E10" s="27">
        <v>23</v>
      </c>
    </row>
    <row r="11" spans="1:5" ht="18.600000000000001" customHeight="1">
      <c r="A11" s="342"/>
      <c r="B11" s="349" t="s">
        <v>396</v>
      </c>
      <c r="C11" s="350"/>
      <c r="D11" s="350"/>
      <c r="E11" s="27">
        <v>3</v>
      </c>
    </row>
    <row r="12" spans="1:5" ht="18.600000000000001" customHeight="1">
      <c r="A12" s="342"/>
      <c r="B12" s="349" t="s">
        <v>397</v>
      </c>
      <c r="C12" s="350"/>
      <c r="D12" s="350"/>
      <c r="E12" s="27">
        <v>0</v>
      </c>
    </row>
    <row r="13" spans="1:5" ht="18.600000000000001" customHeight="1">
      <c r="A13" s="342"/>
      <c r="B13" s="349" t="s">
        <v>398</v>
      </c>
      <c r="C13" s="350"/>
      <c r="D13" s="350"/>
      <c r="E13" s="27">
        <v>5</v>
      </c>
    </row>
    <row r="14" spans="1:5" ht="18.600000000000001" customHeight="1">
      <c r="A14" s="342"/>
      <c r="B14" s="349" t="s">
        <v>399</v>
      </c>
      <c r="C14" s="350"/>
      <c r="D14" s="350"/>
      <c r="E14" s="27" t="s">
        <v>9</v>
      </c>
    </row>
    <row r="15" spans="1:5" ht="18.600000000000001" customHeight="1">
      <c r="A15" s="342"/>
      <c r="B15" s="348" t="s">
        <v>41</v>
      </c>
      <c r="C15" s="348"/>
      <c r="D15" s="348"/>
      <c r="E15" s="27">
        <v>3</v>
      </c>
    </row>
    <row r="16" spans="1:5" ht="18.600000000000001" customHeight="1">
      <c r="A16" s="342"/>
      <c r="B16" s="348" t="s">
        <v>42</v>
      </c>
      <c r="C16" s="348"/>
      <c r="D16" s="348"/>
      <c r="E16" s="27" t="s">
        <v>16</v>
      </c>
    </row>
    <row r="17" spans="1:5" ht="18.600000000000001" customHeight="1">
      <c r="A17" s="342"/>
      <c r="B17" s="351" t="s">
        <v>43</v>
      </c>
      <c r="C17" s="351"/>
      <c r="D17" s="351"/>
      <c r="E17" s="27" t="s">
        <v>19</v>
      </c>
    </row>
    <row r="18" spans="1:5" ht="18.600000000000001" customHeight="1">
      <c r="A18" s="342"/>
      <c r="B18" s="351" t="s">
        <v>44</v>
      </c>
      <c r="C18" s="351"/>
      <c r="D18" s="351"/>
      <c r="E18" s="27">
        <v>1</v>
      </c>
    </row>
    <row r="19" spans="1:5" ht="18.600000000000001" customHeight="1">
      <c r="A19" s="342"/>
      <c r="B19" s="351" t="s">
        <v>45</v>
      </c>
      <c r="C19" s="351"/>
      <c r="D19" s="351"/>
      <c r="E19" s="27">
        <v>10</v>
      </c>
    </row>
    <row r="20" spans="1:5" ht="18.600000000000001" customHeight="1">
      <c r="A20" s="342"/>
      <c r="B20" s="351" t="s">
        <v>46</v>
      </c>
      <c r="C20" s="351"/>
      <c r="D20" s="351"/>
      <c r="E20" s="27">
        <v>0</v>
      </c>
    </row>
    <row r="21" spans="1:5" ht="18.600000000000001" customHeight="1">
      <c r="A21" s="342"/>
      <c r="B21" s="351" t="s">
        <v>47</v>
      </c>
      <c r="C21" s="351"/>
      <c r="D21" s="351"/>
      <c r="E21" s="27">
        <v>5</v>
      </c>
    </row>
    <row r="22" spans="1:5" ht="18.600000000000001" customHeight="1">
      <c r="A22" s="342"/>
      <c r="B22" s="351" t="s">
        <v>48</v>
      </c>
      <c r="C22" s="351"/>
      <c r="D22" s="351"/>
      <c r="E22" s="27">
        <v>2</v>
      </c>
    </row>
    <row r="23" spans="1:5" ht="18.600000000000001" customHeight="1">
      <c r="A23" s="342"/>
      <c r="B23" s="351" t="s">
        <v>49</v>
      </c>
      <c r="C23" s="351"/>
      <c r="D23" s="351"/>
      <c r="E23" s="27">
        <v>2</v>
      </c>
    </row>
    <row r="24" spans="1:5" ht="18.600000000000001" customHeight="1">
      <c r="A24" s="343"/>
      <c r="B24" s="352" t="s">
        <v>50</v>
      </c>
      <c r="C24" s="353"/>
      <c r="D24" s="353"/>
      <c r="E24" s="28">
        <v>0</v>
      </c>
    </row>
    <row r="25" spans="1:5" ht="18.600000000000001" customHeight="1">
      <c r="A25" s="332" t="s">
        <v>51</v>
      </c>
      <c r="B25" s="355" t="s">
        <v>6</v>
      </c>
      <c r="C25" s="355"/>
      <c r="D25" s="355"/>
      <c r="E25" s="27">
        <f>SUM(E26:E32)</f>
        <v>264</v>
      </c>
    </row>
    <row r="26" spans="1:5" ht="18.600000000000001" customHeight="1">
      <c r="A26" s="354"/>
      <c r="B26" s="356" t="s">
        <v>500</v>
      </c>
      <c r="C26" s="350"/>
      <c r="D26" s="350"/>
      <c r="E26" s="27">
        <v>264</v>
      </c>
    </row>
    <row r="27" spans="1:5" ht="18.600000000000001" customHeight="1">
      <c r="A27" s="354"/>
      <c r="B27" s="350" t="s">
        <v>28</v>
      </c>
      <c r="C27" s="350"/>
      <c r="D27" s="350"/>
      <c r="E27" s="27" t="s">
        <v>9</v>
      </c>
    </row>
    <row r="28" spans="1:5" ht="18.600000000000001" customHeight="1">
      <c r="A28" s="354"/>
      <c r="B28" s="350" t="s">
        <v>52</v>
      </c>
      <c r="C28" s="350"/>
      <c r="D28" s="350"/>
      <c r="E28" s="27" t="s">
        <v>9</v>
      </c>
    </row>
    <row r="29" spans="1:5" ht="18.600000000000001" customHeight="1">
      <c r="A29" s="354"/>
      <c r="B29" s="350" t="s">
        <v>53</v>
      </c>
      <c r="C29" s="350"/>
      <c r="D29" s="350"/>
      <c r="E29" s="27" t="s">
        <v>9</v>
      </c>
    </row>
    <row r="30" spans="1:5" ht="18.600000000000001" customHeight="1">
      <c r="A30" s="354"/>
      <c r="B30" s="350" t="s">
        <v>54</v>
      </c>
      <c r="C30" s="350"/>
      <c r="D30" s="350"/>
      <c r="E30" s="27" t="s">
        <v>9</v>
      </c>
    </row>
    <row r="31" spans="1:5" ht="18.600000000000001" customHeight="1">
      <c r="A31" s="354"/>
      <c r="B31" s="350" t="s">
        <v>55</v>
      </c>
      <c r="C31" s="350"/>
      <c r="D31" s="350"/>
      <c r="E31" s="27" t="s">
        <v>19</v>
      </c>
    </row>
    <row r="32" spans="1:5" ht="18.600000000000001" customHeight="1">
      <c r="A32" s="354"/>
      <c r="B32" s="350" t="s">
        <v>56</v>
      </c>
      <c r="C32" s="350"/>
      <c r="D32" s="350"/>
      <c r="E32" s="27">
        <v>0</v>
      </c>
    </row>
    <row r="33" spans="1:5" ht="18.600000000000001" customHeight="1">
      <c r="A33" s="302" t="s">
        <v>57</v>
      </c>
      <c r="B33" s="302"/>
      <c r="C33" s="302"/>
      <c r="D33" s="302"/>
      <c r="E33" s="110">
        <f>13+199+52</f>
        <v>264</v>
      </c>
    </row>
    <row r="34" spans="1:5">
      <c r="A34" s="153" t="s">
        <v>401</v>
      </c>
      <c r="B34" s="153"/>
      <c r="C34" s="153"/>
      <c r="D34" s="17"/>
      <c r="E34" s="17"/>
    </row>
  </sheetData>
  <mergeCells count="35">
    <mergeCell ref="B20:D20"/>
    <mergeCell ref="B31:D31"/>
    <mergeCell ref="B32:D32"/>
    <mergeCell ref="A33:D33"/>
    <mergeCell ref="B22:D22"/>
    <mergeCell ref="B23:D23"/>
    <mergeCell ref="B24:D24"/>
    <mergeCell ref="A25:A32"/>
    <mergeCell ref="B25:D25"/>
    <mergeCell ref="B26:D26"/>
    <mergeCell ref="B27:D27"/>
    <mergeCell ref="B28:D28"/>
    <mergeCell ref="B29:D29"/>
    <mergeCell ref="B30:D30"/>
    <mergeCell ref="B15:D15"/>
    <mergeCell ref="B16:D16"/>
    <mergeCell ref="B17:D17"/>
    <mergeCell ref="B18:D18"/>
    <mergeCell ref="B19:D19"/>
    <mergeCell ref="A1:E1"/>
    <mergeCell ref="A2:D2"/>
    <mergeCell ref="A3:A24"/>
    <mergeCell ref="B3:D3"/>
    <mergeCell ref="B4:D4"/>
    <mergeCell ref="B5:D5"/>
    <mergeCell ref="B6:D6"/>
    <mergeCell ref="B7:D7"/>
    <mergeCell ref="B8:D8"/>
    <mergeCell ref="B9:D9"/>
    <mergeCell ref="B21:D21"/>
    <mergeCell ref="B10:D10"/>
    <mergeCell ref="B11:D11"/>
    <mergeCell ref="B12:D12"/>
    <mergeCell ref="B13:D13"/>
    <mergeCell ref="B14:D14"/>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80" orientation="portrait"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17"/>
  <sheetViews>
    <sheetView showGridLines="0" showRuler="0" zoomScale="85" zoomScaleNormal="85" zoomScalePageLayoutView="125" workbookViewId="0">
      <selection activeCell="A17" sqref="A17:P17"/>
    </sheetView>
  </sheetViews>
  <sheetFormatPr defaultColWidth="9" defaultRowHeight="20.100000000000001" customHeight="1"/>
  <cols>
    <col min="1" max="1" width="6.875" style="70" customWidth="1"/>
    <col min="2" max="16" width="10.625" style="70" customWidth="1"/>
    <col min="17" max="16384" width="9" style="70"/>
  </cols>
  <sheetData>
    <row r="1" spans="1:16" ht="27" customHeight="1">
      <c r="A1" s="297" t="s">
        <v>530</v>
      </c>
      <c r="B1" s="297"/>
      <c r="C1" s="297"/>
      <c r="D1" s="297"/>
      <c r="E1" s="297"/>
      <c r="F1" s="297"/>
      <c r="G1" s="297"/>
      <c r="H1" s="297"/>
      <c r="I1" s="297"/>
      <c r="J1" s="297"/>
      <c r="K1" s="297"/>
      <c r="L1" s="297"/>
      <c r="M1" s="297"/>
      <c r="N1" s="297"/>
      <c r="O1" s="297"/>
      <c r="P1" s="297"/>
    </row>
    <row r="2" spans="1:16" ht="20.100000000000001" customHeight="1">
      <c r="A2" s="299"/>
      <c r="B2" s="357" t="s">
        <v>531</v>
      </c>
      <c r="C2" s="357"/>
      <c r="D2" s="357"/>
      <c r="E2" s="357"/>
      <c r="F2" s="357"/>
      <c r="G2" s="357"/>
      <c r="H2" s="357"/>
      <c r="I2" s="357"/>
      <c r="J2" s="357"/>
      <c r="K2" s="357"/>
      <c r="L2" s="357"/>
      <c r="M2" s="358" t="s">
        <v>532</v>
      </c>
      <c r="N2" s="359"/>
      <c r="O2" s="359"/>
      <c r="P2" s="359"/>
    </row>
    <row r="3" spans="1:16" ht="20.100000000000001" customHeight="1">
      <c r="A3" s="300"/>
      <c r="B3" s="357" t="s">
        <v>533</v>
      </c>
      <c r="C3" s="357"/>
      <c r="D3" s="357"/>
      <c r="E3" s="357"/>
      <c r="F3" s="357"/>
      <c r="G3" s="357" t="s">
        <v>535</v>
      </c>
      <c r="H3" s="357"/>
      <c r="I3" s="357"/>
      <c r="J3" s="357" t="s">
        <v>534</v>
      </c>
      <c r="K3" s="357"/>
      <c r="L3" s="362"/>
      <c r="M3" s="360"/>
      <c r="N3" s="361"/>
      <c r="O3" s="361"/>
      <c r="P3" s="361"/>
    </row>
    <row r="4" spans="1:16" ht="20.100000000000001" customHeight="1">
      <c r="A4" s="300"/>
      <c r="B4" s="357" t="s">
        <v>536</v>
      </c>
      <c r="C4" s="357"/>
      <c r="D4" s="357"/>
      <c r="E4" s="363" t="s">
        <v>537</v>
      </c>
      <c r="F4" s="363" t="s">
        <v>538</v>
      </c>
      <c r="G4" s="363" t="s">
        <v>536</v>
      </c>
      <c r="H4" s="363" t="s">
        <v>539</v>
      </c>
      <c r="I4" s="363" t="s">
        <v>540</v>
      </c>
      <c r="J4" s="363" t="s">
        <v>536</v>
      </c>
      <c r="K4" s="363" t="s">
        <v>539</v>
      </c>
      <c r="L4" s="368" t="s">
        <v>540</v>
      </c>
      <c r="M4" s="365" t="s">
        <v>536</v>
      </c>
      <c r="N4" s="357"/>
      <c r="O4" s="357"/>
      <c r="P4" s="363" t="s">
        <v>539</v>
      </c>
    </row>
    <row r="5" spans="1:16" ht="22.5" customHeight="1">
      <c r="A5" s="300"/>
      <c r="B5" s="111" t="s">
        <v>402</v>
      </c>
      <c r="C5" s="111" t="s">
        <v>406</v>
      </c>
      <c r="D5" s="111" t="s">
        <v>541</v>
      </c>
      <c r="E5" s="364"/>
      <c r="F5" s="364"/>
      <c r="G5" s="364"/>
      <c r="H5" s="364"/>
      <c r="I5" s="364"/>
      <c r="J5" s="364"/>
      <c r="K5" s="364"/>
      <c r="L5" s="369"/>
      <c r="M5" s="112" t="s">
        <v>403</v>
      </c>
      <c r="N5" s="171" t="s">
        <v>542</v>
      </c>
      <c r="O5" s="171" t="s">
        <v>541</v>
      </c>
      <c r="P5" s="364"/>
    </row>
    <row r="6" spans="1:16" s="8" customFormat="1" ht="30" customHeight="1">
      <c r="A6" s="8" t="s">
        <v>543</v>
      </c>
      <c r="B6" s="4">
        <f t="shared" ref="B6:B15" si="0">C6+D6</f>
        <v>11761</v>
      </c>
      <c r="C6" s="4">
        <f>347+9859</f>
        <v>10206</v>
      </c>
      <c r="D6" s="4">
        <f>31+1524</f>
        <v>1555</v>
      </c>
      <c r="E6" s="4">
        <f t="shared" ref="E6:E15" si="1">100-((B$6-B6)/B$6*100)</f>
        <v>100</v>
      </c>
      <c r="F6" s="6">
        <f>SUM(L6,I6)</f>
        <v>100</v>
      </c>
      <c r="G6" s="4">
        <v>11383</v>
      </c>
      <c r="H6" s="4">
        <f t="shared" ref="H6:H15" si="2">100-((G$6-G6)/G$6*100)</f>
        <v>100</v>
      </c>
      <c r="I6" s="6">
        <f>G6/B6*100</f>
        <v>96.785987586089618</v>
      </c>
      <c r="J6" s="4">
        <v>378</v>
      </c>
      <c r="K6" s="4">
        <f t="shared" ref="K6:K15" si="3">100-((J$6-J6)/J$6*100)</f>
        <v>100</v>
      </c>
      <c r="L6" s="172">
        <f t="shared" ref="L6:L14" si="4">J6/B6*100</f>
        <v>3.2140124139103818</v>
      </c>
      <c r="M6" s="173">
        <f t="shared" ref="M6:M15" si="5">SUM(N6,O6)</f>
        <v>2507</v>
      </c>
      <c r="N6" s="5">
        <v>1914</v>
      </c>
      <c r="O6" s="4">
        <v>593</v>
      </c>
      <c r="P6" s="4">
        <f t="shared" ref="P6:P15" si="6">100-((M$6-M6)/M$6*100)</f>
        <v>100</v>
      </c>
    </row>
    <row r="7" spans="1:16" s="8" customFormat="1" ht="30" customHeight="1">
      <c r="A7" s="8" t="s">
        <v>544</v>
      </c>
      <c r="B7" s="4">
        <f t="shared" si="0"/>
        <v>10762</v>
      </c>
      <c r="C7" s="4">
        <f>348+8961</f>
        <v>9309</v>
      </c>
      <c r="D7" s="4">
        <f>40+1413</f>
        <v>1453</v>
      </c>
      <c r="E7" s="4">
        <f t="shared" si="1"/>
        <v>91.505824334665419</v>
      </c>
      <c r="F7" s="6">
        <f t="shared" ref="F7:F15" si="7">SUM(L7,I7)</f>
        <v>100</v>
      </c>
      <c r="G7" s="4">
        <v>10374</v>
      </c>
      <c r="H7" s="4">
        <f t="shared" si="2"/>
        <v>91.13590441887024</v>
      </c>
      <c r="I7" s="6">
        <f t="shared" ref="I7:I15" si="8">G7/B7*100</f>
        <v>96.394722170600261</v>
      </c>
      <c r="J7" s="4">
        <v>388</v>
      </c>
      <c r="K7" s="4">
        <f t="shared" si="3"/>
        <v>102.64550264550265</v>
      </c>
      <c r="L7" s="172">
        <f t="shared" si="4"/>
        <v>3.6052778293997396</v>
      </c>
      <c r="M7" s="173">
        <f t="shared" si="5"/>
        <v>3302</v>
      </c>
      <c r="N7" s="5">
        <v>2550</v>
      </c>
      <c r="O7" s="4">
        <v>752</v>
      </c>
      <c r="P7" s="4">
        <f t="shared" si="6"/>
        <v>131.71120861587553</v>
      </c>
    </row>
    <row r="8" spans="1:16" s="8" customFormat="1" ht="30" customHeight="1">
      <c r="A8" s="8" t="s">
        <v>545</v>
      </c>
      <c r="B8" s="4">
        <f t="shared" si="0"/>
        <v>9768</v>
      </c>
      <c r="C8" s="4">
        <f>376+8144</f>
        <v>8520</v>
      </c>
      <c r="D8" s="4">
        <f>33+1215</f>
        <v>1248</v>
      </c>
      <c r="E8" s="4">
        <f t="shared" si="1"/>
        <v>83.054162061049226</v>
      </c>
      <c r="F8" s="6">
        <f t="shared" si="7"/>
        <v>100.00000000000001</v>
      </c>
      <c r="G8" s="4">
        <v>9359</v>
      </c>
      <c r="H8" s="4">
        <f t="shared" si="2"/>
        <v>82.219098655890363</v>
      </c>
      <c r="I8" s="6">
        <f t="shared" si="8"/>
        <v>95.812858312858324</v>
      </c>
      <c r="J8" s="4">
        <v>409</v>
      </c>
      <c r="K8" s="4">
        <f t="shared" si="3"/>
        <v>108.2010582010582</v>
      </c>
      <c r="L8" s="172">
        <f t="shared" si="4"/>
        <v>4.1871416871416871</v>
      </c>
      <c r="M8" s="173">
        <f t="shared" si="5"/>
        <v>2105</v>
      </c>
      <c r="N8" s="5">
        <v>1547</v>
      </c>
      <c r="O8" s="4">
        <v>558</v>
      </c>
      <c r="P8" s="4">
        <f t="shared" si="6"/>
        <v>83.964898284802558</v>
      </c>
    </row>
    <row r="9" spans="1:16" s="8" customFormat="1" ht="30" customHeight="1">
      <c r="A9" s="8" t="s">
        <v>546</v>
      </c>
      <c r="B9" s="4">
        <f t="shared" si="0"/>
        <v>8847</v>
      </c>
      <c r="C9" s="4">
        <f>261+7410</f>
        <v>7671</v>
      </c>
      <c r="D9" s="4">
        <f>18+1158</f>
        <v>1176</v>
      </c>
      <c r="E9" s="4">
        <f t="shared" si="1"/>
        <v>75.223195306521546</v>
      </c>
      <c r="F9" s="6">
        <f t="shared" si="7"/>
        <v>99.999999999999986</v>
      </c>
      <c r="G9" s="4">
        <v>8568</v>
      </c>
      <c r="H9" s="4">
        <f t="shared" si="2"/>
        <v>75.270139681981902</v>
      </c>
      <c r="I9" s="6">
        <f t="shared" si="8"/>
        <v>96.846388606307215</v>
      </c>
      <c r="J9" s="4">
        <v>279</v>
      </c>
      <c r="K9" s="4">
        <f t="shared" si="3"/>
        <v>73.80952380952381</v>
      </c>
      <c r="L9" s="172">
        <f t="shared" si="4"/>
        <v>3.1536113936927768</v>
      </c>
      <c r="M9" s="173">
        <f t="shared" si="5"/>
        <v>2076</v>
      </c>
      <c r="N9" s="5">
        <v>1528</v>
      </c>
      <c r="O9" s="4">
        <v>548</v>
      </c>
      <c r="P9" s="4">
        <f t="shared" si="6"/>
        <v>82.808137215795767</v>
      </c>
    </row>
    <row r="10" spans="1:16" s="8" customFormat="1" ht="30" customHeight="1">
      <c r="A10" s="8" t="s">
        <v>547</v>
      </c>
      <c r="B10" s="4">
        <f t="shared" si="0"/>
        <v>8393</v>
      </c>
      <c r="C10" s="4">
        <f>244+7042</f>
        <v>7286</v>
      </c>
      <c r="D10" s="4">
        <f>17+1090</f>
        <v>1107</v>
      </c>
      <c r="E10" s="4">
        <f t="shared" si="1"/>
        <v>71.362979338491627</v>
      </c>
      <c r="F10" s="6">
        <f t="shared" si="7"/>
        <v>100</v>
      </c>
      <c r="G10" s="4">
        <v>8132</v>
      </c>
      <c r="H10" s="4">
        <f t="shared" si="2"/>
        <v>71.439866467539318</v>
      </c>
      <c r="I10" s="6">
        <f t="shared" si="8"/>
        <v>96.890265697605145</v>
      </c>
      <c r="J10" s="4">
        <v>261</v>
      </c>
      <c r="K10" s="4">
        <f t="shared" si="3"/>
        <v>69.047619047619051</v>
      </c>
      <c r="L10" s="172">
        <f t="shared" si="4"/>
        <v>3.1097343023948532</v>
      </c>
      <c r="M10" s="173">
        <f t="shared" si="5"/>
        <v>1386</v>
      </c>
      <c r="N10" s="5">
        <v>1000</v>
      </c>
      <c r="O10" s="4">
        <v>386</v>
      </c>
      <c r="P10" s="4">
        <f t="shared" si="6"/>
        <v>55.285201435979261</v>
      </c>
    </row>
    <row r="11" spans="1:16" s="8" customFormat="1" ht="30" customHeight="1">
      <c r="A11" s="8" t="s">
        <v>548</v>
      </c>
      <c r="B11" s="4">
        <f t="shared" si="0"/>
        <v>8741</v>
      </c>
      <c r="C11" s="4">
        <f>270+7351</f>
        <v>7621</v>
      </c>
      <c r="D11" s="4">
        <f>23+1097</f>
        <v>1120</v>
      </c>
      <c r="E11" s="4">
        <f t="shared" si="1"/>
        <v>74.321911402091658</v>
      </c>
      <c r="F11" s="6">
        <f t="shared" si="7"/>
        <v>100</v>
      </c>
      <c r="G11" s="4">
        <v>8448</v>
      </c>
      <c r="H11" s="4">
        <f t="shared" si="2"/>
        <v>74.215936044979344</v>
      </c>
      <c r="I11" s="6">
        <f t="shared" si="8"/>
        <v>96.647980780231094</v>
      </c>
      <c r="J11" s="4">
        <v>293</v>
      </c>
      <c r="K11" s="4">
        <f t="shared" si="3"/>
        <v>77.51322751322752</v>
      </c>
      <c r="L11" s="172">
        <f t="shared" si="4"/>
        <v>3.3520192197689052</v>
      </c>
      <c r="M11" s="173">
        <f t="shared" si="5"/>
        <v>835</v>
      </c>
      <c r="N11" s="5">
        <v>596</v>
      </c>
      <c r="O11" s="4">
        <v>239</v>
      </c>
      <c r="P11" s="4">
        <f t="shared" si="6"/>
        <v>33.306741124850419</v>
      </c>
    </row>
    <row r="12" spans="1:16" s="8" customFormat="1" ht="30" customHeight="1">
      <c r="A12" s="8" t="s">
        <v>549</v>
      </c>
      <c r="B12" s="4">
        <f t="shared" si="0"/>
        <v>8269</v>
      </c>
      <c r="C12" s="4">
        <f>300+6907</f>
        <v>7207</v>
      </c>
      <c r="D12" s="4">
        <f>25+1037</f>
        <v>1062</v>
      </c>
      <c r="E12" s="4">
        <f t="shared" si="1"/>
        <v>70.308647223875525</v>
      </c>
      <c r="F12" s="6">
        <f t="shared" si="7"/>
        <v>99.999999999999986</v>
      </c>
      <c r="G12" s="4">
        <v>7944</v>
      </c>
      <c r="H12" s="4">
        <f t="shared" si="2"/>
        <v>69.788280769568658</v>
      </c>
      <c r="I12" s="6">
        <f t="shared" si="8"/>
        <v>96.069657757890909</v>
      </c>
      <c r="J12" s="4">
        <v>325</v>
      </c>
      <c r="K12" s="4">
        <f t="shared" si="3"/>
        <v>85.978835978835974</v>
      </c>
      <c r="L12" s="172">
        <f t="shared" si="4"/>
        <v>3.9303422421090821</v>
      </c>
      <c r="M12" s="173">
        <f t="shared" si="5"/>
        <v>675</v>
      </c>
      <c r="N12" s="5">
        <v>468</v>
      </c>
      <c r="O12" s="4">
        <v>207</v>
      </c>
      <c r="P12" s="4">
        <f t="shared" si="6"/>
        <v>26.92461108895094</v>
      </c>
    </row>
    <row r="13" spans="1:16" s="8" customFormat="1" ht="30" customHeight="1">
      <c r="A13" s="8" t="s">
        <v>550</v>
      </c>
      <c r="B13" s="4">
        <f t="shared" si="0"/>
        <v>8065</v>
      </c>
      <c r="C13" s="4">
        <f>210+6803</f>
        <v>7013</v>
      </c>
      <c r="D13" s="4">
        <f>26+1026</f>
        <v>1052</v>
      </c>
      <c r="E13" s="4">
        <f t="shared" si="1"/>
        <v>68.574100841765159</v>
      </c>
      <c r="F13" s="6">
        <f t="shared" si="7"/>
        <v>100</v>
      </c>
      <c r="G13" s="4">
        <v>7829</v>
      </c>
      <c r="H13" s="4">
        <f t="shared" si="2"/>
        <v>68.778002284107885</v>
      </c>
      <c r="I13" s="6">
        <f t="shared" si="8"/>
        <v>97.073775573465596</v>
      </c>
      <c r="J13" s="4">
        <v>236</v>
      </c>
      <c r="K13" s="4">
        <f t="shared" si="3"/>
        <v>62.433862433862437</v>
      </c>
      <c r="L13" s="172">
        <f t="shared" si="4"/>
        <v>2.9262244265344082</v>
      </c>
      <c r="M13" s="173">
        <f t="shared" si="5"/>
        <v>638</v>
      </c>
      <c r="N13" s="5">
        <v>502</v>
      </c>
      <c r="O13" s="4">
        <v>136</v>
      </c>
      <c r="P13" s="4">
        <f t="shared" si="6"/>
        <v>25.448743518149186</v>
      </c>
    </row>
    <row r="14" spans="1:16" s="8" customFormat="1" ht="30" customHeight="1">
      <c r="A14" s="8" t="s">
        <v>551</v>
      </c>
      <c r="B14" s="4">
        <f t="shared" si="0"/>
        <v>9066</v>
      </c>
      <c r="C14" s="4">
        <f>7009+602+284</f>
        <v>7895</v>
      </c>
      <c r="D14" s="4">
        <f>1005+149+17</f>
        <v>1171</v>
      </c>
      <c r="E14" s="4">
        <f t="shared" si="1"/>
        <v>77.085281863787088</v>
      </c>
      <c r="F14" s="6">
        <f t="shared" si="7"/>
        <v>100</v>
      </c>
      <c r="G14" s="4">
        <v>8765</v>
      </c>
      <c r="H14" s="4">
        <f t="shared" si="2"/>
        <v>77.000790652727744</v>
      </c>
      <c r="I14" s="6">
        <f t="shared" si="8"/>
        <v>96.679902934039262</v>
      </c>
      <c r="J14" s="4">
        <v>301</v>
      </c>
      <c r="K14" s="4">
        <f t="shared" si="3"/>
        <v>79.629629629629633</v>
      </c>
      <c r="L14" s="172">
        <f t="shared" si="4"/>
        <v>3.3200970659607325</v>
      </c>
      <c r="M14" s="173">
        <f t="shared" si="5"/>
        <v>544</v>
      </c>
      <c r="N14" s="5">
        <v>442</v>
      </c>
      <c r="O14" s="4">
        <v>102</v>
      </c>
      <c r="P14" s="4">
        <f t="shared" si="6"/>
        <v>21.699242122058237</v>
      </c>
    </row>
    <row r="15" spans="1:16" s="8" customFormat="1" ht="30" customHeight="1">
      <c r="A15" s="3" t="s">
        <v>863</v>
      </c>
      <c r="B15" s="9">
        <f t="shared" si="0"/>
        <v>8471</v>
      </c>
      <c r="C15" s="9">
        <f>6501+530+325</f>
        <v>7356</v>
      </c>
      <c r="D15" s="9">
        <f>961+129+25</f>
        <v>1115</v>
      </c>
      <c r="E15" s="9">
        <f t="shared" si="1"/>
        <v>72.026188249298528</v>
      </c>
      <c r="F15" s="6">
        <f t="shared" si="7"/>
        <v>100.00000000000001</v>
      </c>
      <c r="G15" s="9">
        <v>8121</v>
      </c>
      <c r="H15" s="9">
        <f t="shared" si="2"/>
        <v>71.343231134147416</v>
      </c>
      <c r="I15" s="6">
        <f t="shared" si="8"/>
        <v>95.868256404202583</v>
      </c>
      <c r="J15" s="9">
        <v>350</v>
      </c>
      <c r="K15" s="9">
        <f t="shared" si="3"/>
        <v>92.592592592592595</v>
      </c>
      <c r="L15" s="174">
        <f t="shared" ref="L15" si="9">J15/B15*100</f>
        <v>4.1317435957974258</v>
      </c>
      <c r="M15" s="175">
        <f t="shared" si="5"/>
        <v>387</v>
      </c>
      <c r="N15" s="10">
        <v>302</v>
      </c>
      <c r="O15" s="9">
        <v>85</v>
      </c>
      <c r="P15" s="176">
        <f t="shared" si="6"/>
        <v>15.436777024331874</v>
      </c>
    </row>
    <row r="16" spans="1:16" s="8" customFormat="1" ht="20.100000000000001" customHeight="1">
      <c r="A16" s="366" t="s">
        <v>552</v>
      </c>
      <c r="B16" s="366"/>
      <c r="C16" s="366"/>
      <c r="D16" s="366"/>
      <c r="E16" s="366"/>
      <c r="F16" s="366"/>
      <c r="G16" s="366"/>
      <c r="H16" s="366"/>
      <c r="I16" s="366"/>
      <c r="J16" s="366"/>
      <c r="K16" s="366"/>
      <c r="L16" s="366"/>
      <c r="M16" s="366"/>
      <c r="N16" s="366"/>
      <c r="O16" s="366"/>
      <c r="P16" s="366"/>
    </row>
    <row r="17" spans="1:16" s="73" customFormat="1" ht="60" customHeight="1">
      <c r="A17" s="367" t="s">
        <v>864</v>
      </c>
      <c r="B17" s="367"/>
      <c r="C17" s="367"/>
      <c r="D17" s="367"/>
      <c r="E17" s="367"/>
      <c r="F17" s="367"/>
      <c r="G17" s="367"/>
      <c r="H17" s="367"/>
      <c r="I17" s="367"/>
      <c r="J17" s="367"/>
      <c r="K17" s="367"/>
      <c r="L17" s="367"/>
      <c r="M17" s="367"/>
      <c r="N17" s="367"/>
      <c r="O17" s="367"/>
      <c r="P17" s="367"/>
    </row>
  </sheetData>
  <mergeCells count="20">
    <mergeCell ref="A16:P16"/>
    <mergeCell ref="A17:P17"/>
    <mergeCell ref="J4:J5"/>
    <mergeCell ref="K4:K5"/>
    <mergeCell ref="L4:L5"/>
    <mergeCell ref="G4:G5"/>
    <mergeCell ref="H4:H5"/>
    <mergeCell ref="I4:I5"/>
    <mergeCell ref="A1:P1"/>
    <mergeCell ref="A2:A5"/>
    <mergeCell ref="B2:L2"/>
    <mergeCell ref="M2:P3"/>
    <mergeCell ref="B3:F3"/>
    <mergeCell ref="J3:L3"/>
    <mergeCell ref="B4:D4"/>
    <mergeCell ref="E4:E5"/>
    <mergeCell ref="F4:F5"/>
    <mergeCell ref="M4:O4"/>
    <mergeCell ref="P4:P5"/>
    <mergeCell ref="G3:I3"/>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2"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76"/>
  <sheetViews>
    <sheetView showGridLines="0" showRuler="0" zoomScale="90" zoomScaleNormal="90" zoomScalePageLayoutView="125" workbookViewId="0">
      <pane xSplit="1" ySplit="3" topLeftCell="B4" activePane="bottomRight" state="frozen"/>
      <selection activeCell="F17" sqref="F17"/>
      <selection pane="topRight" activeCell="F17" sqref="F17"/>
      <selection pane="bottomLeft" activeCell="F17" sqref="F17"/>
      <selection pane="bottomRight" activeCell="F17" sqref="F17"/>
    </sheetView>
  </sheetViews>
  <sheetFormatPr defaultColWidth="9" defaultRowHeight="20.100000000000001" customHeight="1"/>
  <cols>
    <col min="1" max="1" width="25.625" style="209" customWidth="1"/>
    <col min="2" max="2" width="8.625" style="33" customWidth="1"/>
    <col min="3" max="3" width="8.625" style="34" customWidth="1"/>
    <col min="4" max="4" width="8.625" style="33" customWidth="1"/>
    <col min="5" max="5" width="8.625" style="34" customWidth="1"/>
    <col min="6" max="6" width="8.625" style="33" customWidth="1"/>
    <col min="7" max="7" width="8.625" style="34" customWidth="1"/>
    <col min="8" max="8" width="8.625" style="33" customWidth="1"/>
    <col min="9" max="9" width="8.625" style="34" customWidth="1"/>
    <col min="10" max="10" width="8.625" style="33" customWidth="1"/>
    <col min="11" max="11" width="8.625" style="34" customWidth="1"/>
    <col min="12" max="12" width="8.625" style="33" customWidth="1"/>
    <col min="13" max="13" width="8.625" style="34" customWidth="1"/>
    <col min="14" max="14" width="8.625" style="33" customWidth="1"/>
    <col min="15" max="15" width="8.625" style="34" customWidth="1"/>
    <col min="16" max="16" width="8.625" style="33" customWidth="1"/>
    <col min="17" max="17" width="8.625" style="34" customWidth="1"/>
    <col min="18" max="18" width="8.625" style="33" customWidth="1"/>
    <col min="19" max="19" width="8.625" style="34" customWidth="1"/>
    <col min="20" max="20" width="8.625" style="33" customWidth="1"/>
    <col min="21" max="21" width="8.625" style="34" customWidth="1"/>
    <col min="22" max="16384" width="9" style="17"/>
  </cols>
  <sheetData>
    <row r="1" spans="1:21" ht="24" customHeight="1">
      <c r="A1" s="371" t="s">
        <v>847</v>
      </c>
      <c r="B1" s="371"/>
      <c r="C1" s="371"/>
      <c r="D1" s="371"/>
      <c r="E1" s="371"/>
      <c r="F1" s="371"/>
      <c r="G1" s="371"/>
      <c r="H1" s="371"/>
      <c r="I1" s="371"/>
      <c r="J1" s="371"/>
      <c r="K1" s="371"/>
      <c r="L1" s="371"/>
      <c r="M1" s="371"/>
      <c r="N1" s="371"/>
      <c r="O1" s="371"/>
      <c r="P1" s="371"/>
      <c r="Q1" s="371"/>
      <c r="R1" s="371"/>
      <c r="S1" s="371"/>
      <c r="T1" s="371"/>
      <c r="U1" s="371"/>
    </row>
    <row r="2" spans="1:21" ht="16.5" customHeight="1">
      <c r="A2" s="18"/>
      <c r="B2" s="302" t="s">
        <v>576</v>
      </c>
      <c r="C2" s="302"/>
      <c r="D2" s="302" t="s">
        <v>30</v>
      </c>
      <c r="E2" s="302"/>
      <c r="F2" s="302" t="s">
        <v>31</v>
      </c>
      <c r="G2" s="302"/>
      <c r="H2" s="302" t="s">
        <v>32</v>
      </c>
      <c r="I2" s="302"/>
      <c r="J2" s="302" t="s">
        <v>33</v>
      </c>
      <c r="K2" s="302"/>
      <c r="L2" s="302" t="s">
        <v>34</v>
      </c>
      <c r="M2" s="302"/>
      <c r="N2" s="302" t="s">
        <v>35</v>
      </c>
      <c r="O2" s="302"/>
      <c r="P2" s="302" t="s">
        <v>36</v>
      </c>
      <c r="Q2" s="302"/>
      <c r="R2" s="302" t="s">
        <v>37</v>
      </c>
      <c r="S2" s="302"/>
      <c r="T2" s="302" t="s">
        <v>567</v>
      </c>
      <c r="U2" s="302"/>
    </row>
    <row r="3" spans="1:21" ht="16.5">
      <c r="A3" s="30"/>
      <c r="B3" s="115" t="s">
        <v>58</v>
      </c>
      <c r="C3" s="115" t="s">
        <v>4</v>
      </c>
      <c r="D3" s="115" t="s">
        <v>58</v>
      </c>
      <c r="E3" s="115" t="s">
        <v>4</v>
      </c>
      <c r="F3" s="115" t="s">
        <v>58</v>
      </c>
      <c r="G3" s="115" t="s">
        <v>4</v>
      </c>
      <c r="H3" s="115" t="s">
        <v>59</v>
      </c>
      <c r="I3" s="115" t="s">
        <v>4</v>
      </c>
      <c r="J3" s="115" t="s">
        <v>58</v>
      </c>
      <c r="K3" s="115" t="s">
        <v>60</v>
      </c>
      <c r="L3" s="115" t="s">
        <v>59</v>
      </c>
      <c r="M3" s="115" t="s">
        <v>4</v>
      </c>
      <c r="N3" s="115" t="s">
        <v>58</v>
      </c>
      <c r="O3" s="115" t="s">
        <v>61</v>
      </c>
      <c r="P3" s="115" t="s">
        <v>58</v>
      </c>
      <c r="Q3" s="115" t="s">
        <v>5</v>
      </c>
      <c r="R3" s="115" t="s">
        <v>58</v>
      </c>
      <c r="S3" s="115" t="s">
        <v>4</v>
      </c>
      <c r="T3" s="115" t="s">
        <v>62</v>
      </c>
      <c r="U3" s="115" t="s">
        <v>5</v>
      </c>
    </row>
    <row r="4" spans="1:21" ht="20.100000000000001" customHeight="1">
      <c r="A4" s="46" t="s">
        <v>6</v>
      </c>
      <c r="B4" s="31">
        <f t="shared" ref="B4:U4" si="0">SUM(B5:B74)</f>
        <v>11383</v>
      </c>
      <c r="C4" s="32">
        <f t="shared" si="0"/>
        <v>100.00000000000006</v>
      </c>
      <c r="D4" s="31">
        <f t="shared" si="0"/>
        <v>10374</v>
      </c>
      <c r="E4" s="32">
        <f t="shared" si="0"/>
        <v>100</v>
      </c>
      <c r="F4" s="31">
        <f t="shared" si="0"/>
        <v>9359</v>
      </c>
      <c r="G4" s="32">
        <f t="shared" si="0"/>
        <v>100.00000000000017</v>
      </c>
      <c r="H4" s="31">
        <f t="shared" si="0"/>
        <v>8568</v>
      </c>
      <c r="I4" s="32">
        <f t="shared" si="0"/>
        <v>99.999999999999943</v>
      </c>
      <c r="J4" s="31">
        <f t="shared" si="0"/>
        <v>8132</v>
      </c>
      <c r="K4" s="32">
        <f t="shared" si="0"/>
        <v>100.00000000000003</v>
      </c>
      <c r="L4" s="31">
        <f t="shared" si="0"/>
        <v>8448</v>
      </c>
      <c r="M4" s="32">
        <f t="shared" si="0"/>
        <v>100.00000000000006</v>
      </c>
      <c r="N4" s="31">
        <f t="shared" si="0"/>
        <v>7944</v>
      </c>
      <c r="O4" s="32">
        <f t="shared" si="0"/>
        <v>100.00000000000003</v>
      </c>
      <c r="P4" s="31">
        <f t="shared" si="0"/>
        <v>7829</v>
      </c>
      <c r="Q4" s="32">
        <f t="shared" si="0"/>
        <v>100.00000000000001</v>
      </c>
      <c r="R4" s="31">
        <f t="shared" si="0"/>
        <v>8765</v>
      </c>
      <c r="S4" s="32">
        <f t="shared" si="0"/>
        <v>100.00000000000001</v>
      </c>
      <c r="T4" s="259">
        <f t="shared" si="0"/>
        <v>8121</v>
      </c>
      <c r="U4" s="32">
        <f t="shared" si="0"/>
        <v>99.999999999999957</v>
      </c>
    </row>
    <row r="5" spans="1:21" ht="20.100000000000001" customHeight="1">
      <c r="A5" s="46" t="s">
        <v>63</v>
      </c>
      <c r="B5" s="27">
        <f>2976+348</f>
        <v>3324</v>
      </c>
      <c r="C5" s="39">
        <f t="shared" ref="C5:C36" si="1">IFERROR(B5/B$4*100,"-")</f>
        <v>29.201440744970569</v>
      </c>
      <c r="D5" s="27">
        <f>2344+290</f>
        <v>2634</v>
      </c>
      <c r="E5" s="39">
        <f t="shared" ref="E5:E36" si="2">IFERROR(D5/D$4*100,"-")</f>
        <v>25.390399074609597</v>
      </c>
      <c r="F5" s="27">
        <f>2110+239</f>
        <v>2349</v>
      </c>
      <c r="G5" s="39">
        <f t="shared" ref="G5:G36" si="3">IFERROR(F5/F$4*100,"-")</f>
        <v>25.098835345656589</v>
      </c>
      <c r="H5" s="27">
        <f>1829+205</f>
        <v>2034</v>
      </c>
      <c r="I5" s="39">
        <f t="shared" ref="I5:I36" si="4">IFERROR(H5/H$4*100,"-")</f>
        <v>23.739495798319325</v>
      </c>
      <c r="J5" s="27">
        <f>1801+203</f>
        <v>2004</v>
      </c>
      <c r="K5" s="39">
        <f t="shared" ref="K5:K36" si="5">IFERROR(J5/J$4*100,"-")</f>
        <v>24.643384161337924</v>
      </c>
      <c r="L5" s="27">
        <f>1893+218</f>
        <v>2111</v>
      </c>
      <c r="M5" s="39">
        <f t="shared" ref="M5:M36" si="6">IFERROR(L5/L$4*100,"-")</f>
        <v>24.988162878787879</v>
      </c>
      <c r="N5" s="27">
        <f>1893+193</f>
        <v>2086</v>
      </c>
      <c r="O5" s="39">
        <f t="shared" ref="O5:O36" si="7">IFERROR(N5/N$4*100,"-")</f>
        <v>26.258811681772411</v>
      </c>
      <c r="P5" s="27">
        <f>2020+205</f>
        <v>2225</v>
      </c>
      <c r="Q5" s="39">
        <f t="shared" ref="Q5:Q36" si="8">IFERROR(P5/P$4*100,"-")</f>
        <v>28.419977008557929</v>
      </c>
      <c r="R5" s="27">
        <f>2235+232</f>
        <v>2467</v>
      </c>
      <c r="S5" s="39">
        <f t="shared" ref="S5:S36" si="9">IFERROR(R5/R$4*100,"-")</f>
        <v>28.146035367940677</v>
      </c>
      <c r="T5" s="27">
        <v>1780</v>
      </c>
      <c r="U5" s="39">
        <f t="shared" ref="U5:U36" si="10">IFERROR(T5/T$4*100,"-")</f>
        <v>21.918482945450069</v>
      </c>
    </row>
    <row r="6" spans="1:21" ht="20.100000000000001" customHeight="1">
      <c r="A6" s="46" t="s">
        <v>65</v>
      </c>
      <c r="B6" s="27">
        <f>312+68</f>
        <v>380</v>
      </c>
      <c r="C6" s="39">
        <f t="shared" si="1"/>
        <v>3.3383115171747342</v>
      </c>
      <c r="D6" s="27">
        <f>318+74</f>
        <v>392</v>
      </c>
      <c r="E6" s="39">
        <f t="shared" si="2"/>
        <v>3.7786774628879893</v>
      </c>
      <c r="F6" s="27">
        <f>228+55</f>
        <v>283</v>
      </c>
      <c r="G6" s="39">
        <f t="shared" si="3"/>
        <v>3.0238273319799123</v>
      </c>
      <c r="H6" s="27">
        <f>339+85</f>
        <v>424</v>
      </c>
      <c r="I6" s="39">
        <f t="shared" si="4"/>
        <v>4.9486461251167135</v>
      </c>
      <c r="J6" s="27">
        <f>515+99</f>
        <v>614</v>
      </c>
      <c r="K6" s="39">
        <f t="shared" si="5"/>
        <v>7.5504181013280869</v>
      </c>
      <c r="L6" s="27">
        <f>879+137</f>
        <v>1016</v>
      </c>
      <c r="M6" s="39">
        <f t="shared" si="6"/>
        <v>12.026515151515152</v>
      </c>
      <c r="N6" s="27">
        <f>929+185</f>
        <v>1114</v>
      </c>
      <c r="O6" s="39">
        <f t="shared" si="7"/>
        <v>14.023162134944611</v>
      </c>
      <c r="P6" s="27">
        <f>884+194</f>
        <v>1078</v>
      </c>
      <c r="Q6" s="39">
        <f t="shared" si="8"/>
        <v>13.769319197854132</v>
      </c>
      <c r="R6" s="27">
        <f>929+219</f>
        <v>1148</v>
      </c>
      <c r="S6" s="39">
        <f t="shared" si="9"/>
        <v>13.097547062179121</v>
      </c>
      <c r="T6" s="27">
        <v>1256</v>
      </c>
      <c r="U6" s="39">
        <f t="shared" si="10"/>
        <v>15.466075606452407</v>
      </c>
    </row>
    <row r="7" spans="1:21" ht="18" customHeight="1">
      <c r="A7" s="256" t="s">
        <v>64</v>
      </c>
      <c r="B7" s="257">
        <f>2640+370</f>
        <v>3010</v>
      </c>
      <c r="C7" s="258">
        <f t="shared" si="1"/>
        <v>26.442941228147237</v>
      </c>
      <c r="D7" s="257">
        <f>2264+322</f>
        <v>2586</v>
      </c>
      <c r="E7" s="258">
        <f t="shared" si="2"/>
        <v>24.927703875072297</v>
      </c>
      <c r="F7" s="257">
        <f>1956+318</f>
        <v>2274</v>
      </c>
      <c r="G7" s="258">
        <f t="shared" si="3"/>
        <v>24.297467678170744</v>
      </c>
      <c r="H7" s="257">
        <f>1648+260</f>
        <v>1908</v>
      </c>
      <c r="I7" s="258">
        <f t="shared" si="4"/>
        <v>22.268907563025213</v>
      </c>
      <c r="J7" s="257">
        <f>1369+176</f>
        <v>1545</v>
      </c>
      <c r="K7" s="258">
        <f t="shared" si="5"/>
        <v>18.999016232169208</v>
      </c>
      <c r="L7" s="257">
        <f>1224+147</f>
        <v>1371</v>
      </c>
      <c r="M7" s="258">
        <f t="shared" si="6"/>
        <v>16.228693181818183</v>
      </c>
      <c r="N7" s="257">
        <f>1073+161</f>
        <v>1234</v>
      </c>
      <c r="O7" s="258">
        <f t="shared" si="7"/>
        <v>15.533736153071501</v>
      </c>
      <c r="P7" s="257">
        <f>1048+176</f>
        <v>1224</v>
      </c>
      <c r="Q7" s="258">
        <f t="shared" si="8"/>
        <v>15.634180610550516</v>
      </c>
      <c r="R7" s="257">
        <f>1100+178</f>
        <v>1278</v>
      </c>
      <c r="S7" s="258">
        <f t="shared" si="9"/>
        <v>14.580718767826584</v>
      </c>
      <c r="T7" s="257">
        <v>1008</v>
      </c>
      <c r="U7" s="258">
        <f t="shared" si="10"/>
        <v>12.412264499445881</v>
      </c>
    </row>
    <row r="8" spans="1:21" ht="18" customHeight="1">
      <c r="A8" s="46" t="s">
        <v>68</v>
      </c>
      <c r="B8" s="27">
        <f>22+1</f>
        <v>23</v>
      </c>
      <c r="C8" s="39">
        <f t="shared" si="1"/>
        <v>0.20205569709215496</v>
      </c>
      <c r="D8" s="27">
        <f>2+0</f>
        <v>2</v>
      </c>
      <c r="E8" s="39">
        <f t="shared" si="2"/>
        <v>1.9278966647387701E-2</v>
      </c>
      <c r="F8" s="27">
        <f>11+0</f>
        <v>11</v>
      </c>
      <c r="G8" s="39">
        <f t="shared" si="3"/>
        <v>0.11753392456459023</v>
      </c>
      <c r="H8" s="27">
        <f>5+1</f>
        <v>6</v>
      </c>
      <c r="I8" s="39">
        <f t="shared" si="4"/>
        <v>7.0028011204481794E-2</v>
      </c>
      <c r="J8" s="27">
        <f>3+1</f>
        <v>4</v>
      </c>
      <c r="K8" s="39">
        <f t="shared" si="5"/>
        <v>4.918839153959665E-2</v>
      </c>
      <c r="L8" s="27">
        <f>13+4</f>
        <v>17</v>
      </c>
      <c r="M8" s="39">
        <f t="shared" si="6"/>
        <v>0.20123106060606061</v>
      </c>
      <c r="N8" s="27">
        <f>29+0</f>
        <v>29</v>
      </c>
      <c r="O8" s="39">
        <f t="shared" si="7"/>
        <v>0.36505538771399798</v>
      </c>
      <c r="P8" s="27">
        <f>26+0</f>
        <v>26</v>
      </c>
      <c r="Q8" s="39">
        <f t="shared" si="8"/>
        <v>0.33209860774045219</v>
      </c>
      <c r="R8" s="27">
        <f>373+31</f>
        <v>404</v>
      </c>
      <c r="S8" s="39">
        <f t="shared" si="9"/>
        <v>4.6092413006274962</v>
      </c>
      <c r="T8" s="27">
        <v>952</v>
      </c>
      <c r="U8" s="39">
        <f t="shared" si="10"/>
        <v>11.722694249476666</v>
      </c>
    </row>
    <row r="9" spans="1:21" ht="17.25" customHeight="1">
      <c r="A9" s="46" t="s">
        <v>66</v>
      </c>
      <c r="B9" s="27">
        <f>815+56</f>
        <v>871</v>
      </c>
      <c r="C9" s="39">
        <f t="shared" si="1"/>
        <v>7.6517613985768254</v>
      </c>
      <c r="D9" s="27">
        <f>874+67</f>
        <v>941</v>
      </c>
      <c r="E9" s="39">
        <f t="shared" si="2"/>
        <v>9.0707538075959135</v>
      </c>
      <c r="F9" s="27">
        <f>787+54</f>
        <v>841</v>
      </c>
      <c r="G9" s="39">
        <f t="shared" si="3"/>
        <v>8.9860027780745817</v>
      </c>
      <c r="H9" s="27">
        <f>781+50</f>
        <v>831</v>
      </c>
      <c r="I9" s="39">
        <f t="shared" si="4"/>
        <v>9.6988795518207294</v>
      </c>
      <c r="J9" s="27">
        <f>729+64</f>
        <v>793</v>
      </c>
      <c r="K9" s="39">
        <f t="shared" si="5"/>
        <v>9.7515986227250373</v>
      </c>
      <c r="L9" s="27">
        <f>627+53</f>
        <v>680</v>
      </c>
      <c r="M9" s="39">
        <f t="shared" si="6"/>
        <v>8.0492424242424239</v>
      </c>
      <c r="N9" s="27">
        <f>590+42</f>
        <v>632</v>
      </c>
      <c r="O9" s="39">
        <f t="shared" si="7"/>
        <v>7.9556898288016109</v>
      </c>
      <c r="P9" s="27">
        <f>632+52</f>
        <v>684</v>
      </c>
      <c r="Q9" s="39">
        <f t="shared" si="8"/>
        <v>8.736747988248819</v>
      </c>
      <c r="R9" s="27">
        <f>704+69</f>
        <v>773</v>
      </c>
      <c r="S9" s="39">
        <f t="shared" si="9"/>
        <v>8.8191671420422129</v>
      </c>
      <c r="T9" s="27">
        <v>772</v>
      </c>
      <c r="U9" s="39">
        <f t="shared" si="10"/>
        <v>9.506218446004187</v>
      </c>
    </row>
    <row r="10" spans="1:21" ht="18.75" customHeight="1">
      <c r="A10" s="46" t="s">
        <v>67</v>
      </c>
      <c r="B10" s="27">
        <f>767+84</f>
        <v>851</v>
      </c>
      <c r="C10" s="39">
        <f t="shared" si="1"/>
        <v>7.4760607924097329</v>
      </c>
      <c r="D10" s="27">
        <f>750+106</f>
        <v>856</v>
      </c>
      <c r="E10" s="39">
        <f t="shared" si="2"/>
        <v>8.2513977250819348</v>
      </c>
      <c r="F10" s="27">
        <f>904+98</f>
        <v>1002</v>
      </c>
      <c r="G10" s="39">
        <f t="shared" si="3"/>
        <v>10.706272037610857</v>
      </c>
      <c r="H10" s="27">
        <f>670+99</f>
        <v>769</v>
      </c>
      <c r="I10" s="39">
        <f t="shared" si="4"/>
        <v>8.9752567693744165</v>
      </c>
      <c r="J10" s="27">
        <f>650+95</f>
        <v>745</v>
      </c>
      <c r="K10" s="39">
        <f t="shared" si="5"/>
        <v>9.1613379242498763</v>
      </c>
      <c r="L10" s="27">
        <f>650+109</f>
        <v>759</v>
      </c>
      <c r="M10" s="39">
        <f t="shared" si="6"/>
        <v>8.984375</v>
      </c>
      <c r="N10" s="27">
        <f>608+109</f>
        <v>717</v>
      </c>
      <c r="O10" s="39">
        <f t="shared" si="7"/>
        <v>9.0256797583081561</v>
      </c>
      <c r="P10" s="27">
        <f>524+94</f>
        <v>618</v>
      </c>
      <c r="Q10" s="39">
        <f t="shared" si="8"/>
        <v>7.8937284455230561</v>
      </c>
      <c r="R10" s="27">
        <f>524+89</f>
        <v>613</v>
      </c>
      <c r="S10" s="39">
        <f t="shared" si="9"/>
        <v>6.9937250427837991</v>
      </c>
      <c r="T10" s="27">
        <v>438</v>
      </c>
      <c r="U10" s="39">
        <f t="shared" si="10"/>
        <v>5.3934244551163646</v>
      </c>
    </row>
    <row r="11" spans="1:21" ht="20.100000000000001" customHeight="1">
      <c r="A11" s="46" t="s">
        <v>69</v>
      </c>
      <c r="B11" s="27">
        <f>336+83</f>
        <v>419</v>
      </c>
      <c r="C11" s="39">
        <f t="shared" si="1"/>
        <v>3.6809276992005624</v>
      </c>
      <c r="D11" s="27">
        <f>305+76</f>
        <v>381</v>
      </c>
      <c r="E11" s="39">
        <f t="shared" si="2"/>
        <v>3.6726431463273568</v>
      </c>
      <c r="F11" s="27">
        <f>294+67</f>
        <v>361</v>
      </c>
      <c r="G11" s="39">
        <f t="shared" si="3"/>
        <v>3.8572497061651889</v>
      </c>
      <c r="H11" s="27">
        <f>273+45</f>
        <v>318</v>
      </c>
      <c r="I11" s="39">
        <f t="shared" si="4"/>
        <v>3.7114845938375352</v>
      </c>
      <c r="J11" s="27">
        <f>293+44</f>
        <v>337</v>
      </c>
      <c r="K11" s="39">
        <f t="shared" si="5"/>
        <v>4.144121987211018</v>
      </c>
      <c r="L11" s="27">
        <f>285+44</f>
        <v>329</v>
      </c>
      <c r="M11" s="39">
        <f t="shared" si="6"/>
        <v>3.8944128787878785</v>
      </c>
      <c r="N11" s="27">
        <f>338+49</f>
        <v>387</v>
      </c>
      <c r="O11" s="39">
        <f t="shared" si="7"/>
        <v>4.8716012084592144</v>
      </c>
      <c r="P11" s="27">
        <f>367+43</f>
        <v>410</v>
      </c>
      <c r="Q11" s="39">
        <f t="shared" si="8"/>
        <v>5.2369395835994377</v>
      </c>
      <c r="R11" s="27">
        <f>349+49</f>
        <v>398</v>
      </c>
      <c r="S11" s="39">
        <f t="shared" si="9"/>
        <v>4.5407872219053056</v>
      </c>
      <c r="T11" s="27">
        <v>374</v>
      </c>
      <c r="U11" s="39">
        <f t="shared" si="10"/>
        <v>4.6053441694372612</v>
      </c>
    </row>
    <row r="12" spans="1:21" ht="18" customHeight="1">
      <c r="A12" s="186" t="s">
        <v>411</v>
      </c>
      <c r="B12" s="27">
        <f>25+41</f>
        <v>66</v>
      </c>
      <c r="C12" s="39">
        <f t="shared" si="1"/>
        <v>0.57981200035140124</v>
      </c>
      <c r="D12" s="27">
        <f>27+36</f>
        <v>63</v>
      </c>
      <c r="E12" s="39">
        <f t="shared" si="2"/>
        <v>0.60728744939271251</v>
      </c>
      <c r="F12" s="27">
        <f>44+36</f>
        <v>80</v>
      </c>
      <c r="G12" s="39">
        <f t="shared" si="3"/>
        <v>0.85479217865156532</v>
      </c>
      <c r="H12" s="27">
        <f>34+24</f>
        <v>58</v>
      </c>
      <c r="I12" s="39">
        <f t="shared" si="4"/>
        <v>0.67693744164332403</v>
      </c>
      <c r="J12" s="27">
        <f>55+41</f>
        <v>96</v>
      </c>
      <c r="K12" s="39">
        <f t="shared" si="5"/>
        <v>1.1805213969503197</v>
      </c>
      <c r="L12" s="27">
        <f>150+64</f>
        <v>214</v>
      </c>
      <c r="M12" s="39">
        <f t="shared" si="6"/>
        <v>2.5331439393939394</v>
      </c>
      <c r="N12" s="27">
        <f>120+47</f>
        <v>167</v>
      </c>
      <c r="O12" s="39">
        <f t="shared" si="7"/>
        <v>2.1022155085599197</v>
      </c>
      <c r="P12" s="27">
        <f>156+58</f>
        <v>214</v>
      </c>
      <c r="Q12" s="39">
        <f t="shared" si="8"/>
        <v>2.733427002171414</v>
      </c>
      <c r="R12" s="27">
        <f>244+92</f>
        <v>336</v>
      </c>
      <c r="S12" s="39">
        <f t="shared" si="9"/>
        <v>3.83342840844267</v>
      </c>
      <c r="T12" s="27">
        <v>305</v>
      </c>
      <c r="U12" s="39">
        <f t="shared" si="10"/>
        <v>3.7556951114394774</v>
      </c>
    </row>
    <row r="13" spans="1:21" ht="18" customHeight="1">
      <c r="A13" s="46" t="s">
        <v>70</v>
      </c>
      <c r="B13" s="27">
        <f>173+13</f>
        <v>186</v>
      </c>
      <c r="C13" s="39">
        <f t="shared" si="1"/>
        <v>1.6340156373539489</v>
      </c>
      <c r="D13" s="27">
        <f>164+12</f>
        <v>176</v>
      </c>
      <c r="E13" s="39">
        <f t="shared" si="2"/>
        <v>1.6965490649701174</v>
      </c>
      <c r="F13" s="27">
        <f>150+5</f>
        <v>155</v>
      </c>
      <c r="G13" s="39">
        <f t="shared" si="3"/>
        <v>1.6561598461374079</v>
      </c>
      <c r="H13" s="27">
        <f>126+4</f>
        <v>130</v>
      </c>
      <c r="I13" s="39">
        <f t="shared" si="4"/>
        <v>1.5172735760971054</v>
      </c>
      <c r="J13" s="27">
        <f>152+13</f>
        <v>165</v>
      </c>
      <c r="K13" s="39">
        <f t="shared" si="5"/>
        <v>2.029021151008362</v>
      </c>
      <c r="L13" s="27">
        <f>206+6</f>
        <v>212</v>
      </c>
      <c r="M13" s="39">
        <f t="shared" si="6"/>
        <v>2.5094696969696968</v>
      </c>
      <c r="N13" s="27">
        <f>286+9</f>
        <v>295</v>
      </c>
      <c r="O13" s="39">
        <f t="shared" si="7"/>
        <v>3.7134944612286001</v>
      </c>
      <c r="P13" s="27">
        <f>250+11</f>
        <v>261</v>
      </c>
      <c r="Q13" s="39">
        <f t="shared" si="8"/>
        <v>3.3337591007791545</v>
      </c>
      <c r="R13" s="27">
        <f>271+9</f>
        <v>280</v>
      </c>
      <c r="S13" s="39">
        <f t="shared" si="9"/>
        <v>3.1945236737022249</v>
      </c>
      <c r="T13" s="27">
        <v>238</v>
      </c>
      <c r="U13" s="39">
        <f t="shared" si="10"/>
        <v>2.9306735623691664</v>
      </c>
    </row>
    <row r="14" spans="1:21" ht="18" customHeight="1">
      <c r="A14" s="46" t="s">
        <v>7</v>
      </c>
      <c r="B14" s="27">
        <f>646+220</f>
        <v>866</v>
      </c>
      <c r="C14" s="39">
        <f t="shared" si="1"/>
        <v>7.6078362470350518</v>
      </c>
      <c r="D14" s="27">
        <f>823+212</f>
        <v>1035</v>
      </c>
      <c r="E14" s="39">
        <f t="shared" si="2"/>
        <v>9.9768652400231339</v>
      </c>
      <c r="F14" s="27">
        <f>637+142</f>
        <v>779</v>
      </c>
      <c r="G14" s="39">
        <f t="shared" si="3"/>
        <v>8.3235388396196175</v>
      </c>
      <c r="H14" s="27">
        <f>736+235</f>
        <v>971</v>
      </c>
      <c r="I14" s="39">
        <f t="shared" si="4"/>
        <v>11.332866479925304</v>
      </c>
      <c r="J14" s="27">
        <f>660+199</f>
        <v>859</v>
      </c>
      <c r="K14" s="39">
        <f t="shared" si="5"/>
        <v>10.563207083128381</v>
      </c>
      <c r="L14" s="27">
        <f>587+168</f>
        <v>755</v>
      </c>
      <c r="M14" s="39">
        <f t="shared" si="6"/>
        <v>8.9370265151515156</v>
      </c>
      <c r="N14" s="27">
        <f>294+97</f>
        <v>391</v>
      </c>
      <c r="O14" s="39">
        <f t="shared" si="7"/>
        <v>4.9219536757301103</v>
      </c>
      <c r="P14" s="27">
        <f>236+66</f>
        <v>302</v>
      </c>
      <c r="Q14" s="39">
        <f t="shared" si="8"/>
        <v>3.8574530591390981</v>
      </c>
      <c r="R14" s="27">
        <f>203+41</f>
        <v>244</v>
      </c>
      <c r="S14" s="39">
        <f t="shared" si="9"/>
        <v>2.7837992013690815</v>
      </c>
      <c r="T14" s="27">
        <v>197</v>
      </c>
      <c r="U14" s="39">
        <f t="shared" si="10"/>
        <v>2.4258096293559905</v>
      </c>
    </row>
    <row r="15" spans="1:21" ht="18" customHeight="1">
      <c r="A15" s="46" t="s">
        <v>72</v>
      </c>
      <c r="B15" s="27">
        <f>271+41</f>
        <v>312</v>
      </c>
      <c r="C15" s="39">
        <f t="shared" si="1"/>
        <v>2.740929456206624</v>
      </c>
      <c r="D15" s="27">
        <f>195+19</f>
        <v>214</v>
      </c>
      <c r="E15" s="39">
        <f t="shared" si="2"/>
        <v>2.0628494312704837</v>
      </c>
      <c r="F15" s="27">
        <f>167+23</f>
        <v>190</v>
      </c>
      <c r="G15" s="39">
        <f t="shared" si="3"/>
        <v>2.0301314242974677</v>
      </c>
      <c r="H15" s="27">
        <f>171+15</f>
        <v>186</v>
      </c>
      <c r="I15" s="39">
        <f t="shared" si="4"/>
        <v>2.1708683473389354</v>
      </c>
      <c r="J15" s="27">
        <f>120+13</f>
        <v>133</v>
      </c>
      <c r="K15" s="39">
        <f t="shared" si="5"/>
        <v>1.6355140186915886</v>
      </c>
      <c r="L15" s="27">
        <f>103+11</f>
        <v>114</v>
      </c>
      <c r="M15" s="39">
        <f t="shared" si="6"/>
        <v>1.3494318181818181</v>
      </c>
      <c r="N15" s="27">
        <f>95+6</f>
        <v>101</v>
      </c>
      <c r="O15" s="39">
        <f t="shared" si="7"/>
        <v>1.2713997985901311</v>
      </c>
      <c r="P15" s="27">
        <f>119+15</f>
        <v>134</v>
      </c>
      <c r="Q15" s="39">
        <f t="shared" si="8"/>
        <v>1.7115851322007918</v>
      </c>
      <c r="R15" s="27">
        <f>71+20</f>
        <v>91</v>
      </c>
      <c r="S15" s="39">
        <f t="shared" si="9"/>
        <v>1.038220193953223</v>
      </c>
      <c r="T15" s="27">
        <v>120</v>
      </c>
      <c r="U15" s="39">
        <f t="shared" si="10"/>
        <v>1.4776505356483192</v>
      </c>
    </row>
    <row r="16" spans="1:21" ht="20.100000000000001" customHeight="1">
      <c r="A16" s="46" t="s">
        <v>71</v>
      </c>
      <c r="B16" s="27">
        <f>61+27</f>
        <v>88</v>
      </c>
      <c r="C16" s="39">
        <f t="shared" si="1"/>
        <v>0.77308266713520157</v>
      </c>
      <c r="D16" s="27">
        <f>43+19</f>
        <v>62</v>
      </c>
      <c r="E16" s="39">
        <f t="shared" si="2"/>
        <v>0.59764796606901871</v>
      </c>
      <c r="F16" s="27">
        <f>69+27</f>
        <v>96</v>
      </c>
      <c r="G16" s="39">
        <f t="shared" si="3"/>
        <v>1.0257506143818784</v>
      </c>
      <c r="H16" s="27">
        <f>53+11</f>
        <v>64</v>
      </c>
      <c r="I16" s="39">
        <f t="shared" si="4"/>
        <v>0.7469654528478058</v>
      </c>
      <c r="J16" s="27">
        <f>68+22</f>
        <v>90</v>
      </c>
      <c r="K16" s="39">
        <f t="shared" si="5"/>
        <v>1.1067388096409247</v>
      </c>
      <c r="L16" s="27">
        <f>99+31</f>
        <v>130</v>
      </c>
      <c r="M16" s="39">
        <f t="shared" si="6"/>
        <v>1.5388257575757576</v>
      </c>
      <c r="N16" s="27">
        <f>83+38</f>
        <v>121</v>
      </c>
      <c r="O16" s="39">
        <f t="shared" si="7"/>
        <v>1.5231621349446123</v>
      </c>
      <c r="P16" s="27">
        <f>85+27</f>
        <v>112</v>
      </c>
      <c r="Q16" s="39">
        <f t="shared" si="8"/>
        <v>1.4305786179588709</v>
      </c>
      <c r="R16" s="27">
        <f>96+36</f>
        <v>132</v>
      </c>
      <c r="S16" s="39">
        <f t="shared" si="9"/>
        <v>1.5059897318881916</v>
      </c>
      <c r="T16" s="27">
        <v>113</v>
      </c>
      <c r="U16" s="39">
        <f t="shared" si="10"/>
        <v>1.3914542544021671</v>
      </c>
    </row>
    <row r="17" spans="1:21" ht="18" customHeight="1">
      <c r="A17" s="46" t="s">
        <v>74</v>
      </c>
      <c r="B17" s="27">
        <f>80+6</f>
        <v>86</v>
      </c>
      <c r="C17" s="39">
        <f t="shared" si="1"/>
        <v>0.7555126065184925</v>
      </c>
      <c r="D17" s="27">
        <f>79+3</f>
        <v>82</v>
      </c>
      <c r="E17" s="39">
        <f t="shared" si="2"/>
        <v>0.79043763254289579</v>
      </c>
      <c r="F17" s="27">
        <f>72+0</f>
        <v>72</v>
      </c>
      <c r="G17" s="39">
        <f t="shared" si="3"/>
        <v>0.76931296078640876</v>
      </c>
      <c r="H17" s="27">
        <v>92</v>
      </c>
      <c r="I17" s="39">
        <f t="shared" si="4"/>
        <v>1.0737628384687208</v>
      </c>
      <c r="J17" s="27">
        <f>87+1</f>
        <v>88</v>
      </c>
      <c r="K17" s="39">
        <f t="shared" si="5"/>
        <v>1.0821446138711266</v>
      </c>
      <c r="L17" s="27">
        <f>134+7</f>
        <v>141</v>
      </c>
      <c r="M17" s="39">
        <f t="shared" si="6"/>
        <v>1.6690340909090908</v>
      </c>
      <c r="N17" s="27">
        <f>94+3</f>
        <v>97</v>
      </c>
      <c r="O17" s="39">
        <f t="shared" si="7"/>
        <v>1.2210473313192347</v>
      </c>
      <c r="P17" s="27">
        <f>33+5</f>
        <v>38</v>
      </c>
      <c r="Q17" s="39">
        <f t="shared" si="8"/>
        <v>0.48537488823604547</v>
      </c>
      <c r="R17" s="27">
        <f>60+5</f>
        <v>65</v>
      </c>
      <c r="S17" s="39">
        <f t="shared" si="9"/>
        <v>0.74158585282373068</v>
      </c>
      <c r="T17" s="27">
        <v>78</v>
      </c>
      <c r="U17" s="39">
        <f t="shared" si="10"/>
        <v>0.96047284817140743</v>
      </c>
    </row>
    <row r="18" spans="1:21" ht="20.100000000000001" customHeight="1">
      <c r="A18" s="46" t="s">
        <v>75</v>
      </c>
      <c r="B18" s="27">
        <f>110+35</f>
        <v>145</v>
      </c>
      <c r="C18" s="39">
        <f t="shared" si="1"/>
        <v>1.2738293947114117</v>
      </c>
      <c r="D18" s="27">
        <f>176+41</f>
        <v>217</v>
      </c>
      <c r="E18" s="39">
        <f t="shared" si="2"/>
        <v>2.0917678812415654</v>
      </c>
      <c r="F18" s="27">
        <f>159+36</f>
        <v>195</v>
      </c>
      <c r="G18" s="39">
        <f t="shared" si="3"/>
        <v>2.0835559354631905</v>
      </c>
      <c r="H18" s="27">
        <f>131+23</f>
        <v>154</v>
      </c>
      <c r="I18" s="39">
        <f t="shared" si="4"/>
        <v>1.7973856209150325</v>
      </c>
      <c r="J18" s="27">
        <f>73+31</f>
        <v>104</v>
      </c>
      <c r="K18" s="39">
        <f t="shared" si="5"/>
        <v>1.2788981800295129</v>
      </c>
      <c r="L18" s="27">
        <f>52+28</f>
        <v>80</v>
      </c>
      <c r="M18" s="39">
        <f t="shared" si="6"/>
        <v>0.94696969696969702</v>
      </c>
      <c r="N18" s="27">
        <f>33+28</f>
        <v>61</v>
      </c>
      <c r="O18" s="39">
        <f t="shared" si="7"/>
        <v>0.76787512588116813</v>
      </c>
      <c r="P18" s="27">
        <f>44+23</f>
        <v>67</v>
      </c>
      <c r="Q18" s="39">
        <f t="shared" si="8"/>
        <v>0.85579256610039589</v>
      </c>
      <c r="R18" s="27">
        <f>34+21</f>
        <v>55</v>
      </c>
      <c r="S18" s="39">
        <f t="shared" si="9"/>
        <v>0.62749572162007994</v>
      </c>
      <c r="T18" s="27">
        <v>66</v>
      </c>
      <c r="U18" s="39">
        <f t="shared" si="10"/>
        <v>0.8127077946065755</v>
      </c>
    </row>
    <row r="19" spans="1:21" ht="20.100000000000001" customHeight="1">
      <c r="A19" s="46" t="s">
        <v>76</v>
      </c>
      <c r="B19" s="27">
        <f>100+15</f>
        <v>115</v>
      </c>
      <c r="C19" s="39">
        <f t="shared" si="1"/>
        <v>1.0102784854607749</v>
      </c>
      <c r="D19" s="27">
        <f>73+11</f>
        <v>84</v>
      </c>
      <c r="E19" s="39">
        <f t="shared" si="2"/>
        <v>0.80971659919028338</v>
      </c>
      <c r="F19" s="27">
        <f>70+8</f>
        <v>78</v>
      </c>
      <c r="G19" s="39">
        <f t="shared" si="3"/>
        <v>0.8334223741852762</v>
      </c>
      <c r="H19" s="27">
        <f>70+15</f>
        <v>85</v>
      </c>
      <c r="I19" s="39">
        <f t="shared" si="4"/>
        <v>0.99206349206349198</v>
      </c>
      <c r="J19" s="27">
        <f>68+7</f>
        <v>75</v>
      </c>
      <c r="K19" s="39">
        <f t="shared" si="5"/>
        <v>0.92228234136743725</v>
      </c>
      <c r="L19" s="27">
        <f>44+7</f>
        <v>51</v>
      </c>
      <c r="M19" s="39">
        <f t="shared" si="6"/>
        <v>0.60369318181818177</v>
      </c>
      <c r="N19" s="27">
        <f>55+4</f>
        <v>59</v>
      </c>
      <c r="O19" s="39">
        <f t="shared" si="7"/>
        <v>0.74269889224572005</v>
      </c>
      <c r="P19" s="27">
        <f>47+6</f>
        <v>53</v>
      </c>
      <c r="Q19" s="39">
        <f t="shared" si="8"/>
        <v>0.67697023885553709</v>
      </c>
      <c r="R19" s="27">
        <f>41+3</f>
        <v>44</v>
      </c>
      <c r="S19" s="39">
        <f t="shared" si="9"/>
        <v>0.50199657729606384</v>
      </c>
      <c r="T19" s="27">
        <v>41</v>
      </c>
      <c r="U19" s="39">
        <f t="shared" si="10"/>
        <v>0.50486393301317578</v>
      </c>
    </row>
    <row r="20" spans="1:21" ht="18" customHeight="1">
      <c r="A20" s="46" t="s">
        <v>73</v>
      </c>
      <c r="B20" s="27">
        <f>70+23</f>
        <v>93</v>
      </c>
      <c r="C20" s="39">
        <f t="shared" si="1"/>
        <v>0.81700781867697447</v>
      </c>
      <c r="D20" s="27">
        <f>71+31</f>
        <v>102</v>
      </c>
      <c r="E20" s="39">
        <f t="shared" si="2"/>
        <v>0.98322729901677264</v>
      </c>
      <c r="F20" s="27">
        <f>54+19</f>
        <v>73</v>
      </c>
      <c r="G20" s="39">
        <f t="shared" si="3"/>
        <v>0.77999786301955343</v>
      </c>
      <c r="H20" s="27">
        <f>55+11</f>
        <v>66</v>
      </c>
      <c r="I20" s="39">
        <f t="shared" si="4"/>
        <v>0.77030812324929976</v>
      </c>
      <c r="J20" s="27">
        <f>52+9</f>
        <v>61</v>
      </c>
      <c r="K20" s="39">
        <f t="shared" si="5"/>
        <v>0.75012297097884906</v>
      </c>
      <c r="L20" s="27">
        <f>35+9</f>
        <v>44</v>
      </c>
      <c r="M20" s="39">
        <f t="shared" si="6"/>
        <v>0.52083333333333326</v>
      </c>
      <c r="N20" s="27">
        <f>56+6</f>
        <v>62</v>
      </c>
      <c r="O20" s="39">
        <f t="shared" si="7"/>
        <v>0.78046324269889222</v>
      </c>
      <c r="P20" s="27">
        <f>51+14</f>
        <v>65</v>
      </c>
      <c r="Q20" s="39">
        <f t="shared" si="8"/>
        <v>0.83024651935113047</v>
      </c>
      <c r="R20" s="27">
        <f>48+18</f>
        <v>66</v>
      </c>
      <c r="S20" s="39">
        <f t="shared" si="9"/>
        <v>0.75299486594409581</v>
      </c>
      <c r="T20" s="27">
        <v>38</v>
      </c>
      <c r="U20" s="39">
        <f t="shared" si="10"/>
        <v>0.46792266962196771</v>
      </c>
    </row>
    <row r="21" spans="1:21" ht="20.100000000000001" customHeight="1">
      <c r="A21" s="46" t="s">
        <v>77</v>
      </c>
      <c r="B21" s="27">
        <f>125+16</f>
        <v>141</v>
      </c>
      <c r="C21" s="39">
        <f t="shared" si="1"/>
        <v>1.2386892734779935</v>
      </c>
      <c r="D21" s="27">
        <f>112+25</f>
        <v>137</v>
      </c>
      <c r="E21" s="39">
        <f t="shared" si="2"/>
        <v>1.3206092153460576</v>
      </c>
      <c r="F21" s="27">
        <f>107+18</f>
        <v>125</v>
      </c>
      <c r="G21" s="39">
        <f t="shared" si="3"/>
        <v>1.3356127791430707</v>
      </c>
      <c r="H21" s="27">
        <f>79+8</f>
        <v>87</v>
      </c>
      <c r="I21" s="39">
        <f t="shared" si="4"/>
        <v>1.0154061624649859</v>
      </c>
      <c r="J21" s="27">
        <f>57+8</f>
        <v>65</v>
      </c>
      <c r="K21" s="39">
        <f t="shared" si="5"/>
        <v>0.79931136251844559</v>
      </c>
      <c r="L21" s="27">
        <f>48+7</f>
        <v>55</v>
      </c>
      <c r="M21" s="39">
        <f t="shared" si="6"/>
        <v>0.65104166666666674</v>
      </c>
      <c r="N21" s="27">
        <f>46+5</f>
        <v>51</v>
      </c>
      <c r="O21" s="39">
        <f t="shared" si="7"/>
        <v>0.64199395770392753</v>
      </c>
      <c r="P21" s="27">
        <f>38+0</f>
        <v>38</v>
      </c>
      <c r="Q21" s="39">
        <f t="shared" si="8"/>
        <v>0.48537488823604547</v>
      </c>
      <c r="R21" s="27">
        <f>37+2</f>
        <v>39</v>
      </c>
      <c r="S21" s="39">
        <f t="shared" si="9"/>
        <v>0.44495151169423847</v>
      </c>
      <c r="T21" s="27">
        <v>34</v>
      </c>
      <c r="U21" s="39">
        <f t="shared" si="10"/>
        <v>0.41866765176702375</v>
      </c>
    </row>
    <row r="22" spans="1:21" ht="20.100000000000001" customHeight="1">
      <c r="A22" s="46" t="s">
        <v>81</v>
      </c>
      <c r="B22" s="27">
        <f>9+2</f>
        <v>11</v>
      </c>
      <c r="C22" s="39">
        <f t="shared" si="1"/>
        <v>9.6635333391900197E-2</v>
      </c>
      <c r="D22" s="27">
        <f>4+0</f>
        <v>4</v>
      </c>
      <c r="E22" s="39">
        <f t="shared" si="2"/>
        <v>3.8557933294775401E-2</v>
      </c>
      <c r="F22" s="27">
        <f>7+2</f>
        <v>9</v>
      </c>
      <c r="G22" s="39">
        <f t="shared" si="3"/>
        <v>9.6164120098301095E-2</v>
      </c>
      <c r="H22" s="27">
        <f>12+1</f>
        <v>13</v>
      </c>
      <c r="I22" s="39">
        <f t="shared" si="4"/>
        <v>0.15172735760971057</v>
      </c>
      <c r="J22" s="27">
        <f>20+3</f>
        <v>23</v>
      </c>
      <c r="K22" s="39">
        <f t="shared" si="5"/>
        <v>0.28283325135268078</v>
      </c>
      <c r="L22" s="27">
        <f>20+1</f>
        <v>21</v>
      </c>
      <c r="M22" s="39">
        <f t="shared" si="6"/>
        <v>0.24857954545454544</v>
      </c>
      <c r="N22" s="27">
        <f>28+1</f>
        <v>29</v>
      </c>
      <c r="O22" s="39">
        <f t="shared" si="7"/>
        <v>0.36505538771399798</v>
      </c>
      <c r="P22" s="27">
        <f>26+2</f>
        <v>28</v>
      </c>
      <c r="Q22" s="39">
        <f t="shared" si="8"/>
        <v>0.35764465448971772</v>
      </c>
      <c r="R22" s="27">
        <f>25+1</f>
        <v>26</v>
      </c>
      <c r="S22" s="39">
        <f t="shared" si="9"/>
        <v>0.29663434112949227</v>
      </c>
      <c r="T22" s="27">
        <v>32</v>
      </c>
      <c r="U22" s="39">
        <f t="shared" si="10"/>
        <v>0.39404014283955174</v>
      </c>
    </row>
    <row r="23" spans="1:21" ht="18.75" customHeight="1">
      <c r="A23" s="46" t="s">
        <v>11</v>
      </c>
      <c r="B23" s="27">
        <f>24+4</f>
        <v>28</v>
      </c>
      <c r="C23" s="39">
        <f t="shared" si="1"/>
        <v>0.24598084863392777</v>
      </c>
      <c r="D23" s="27">
        <f>48+10</f>
        <v>58</v>
      </c>
      <c r="E23" s="39">
        <f t="shared" si="2"/>
        <v>0.5590900327742433</v>
      </c>
      <c r="F23" s="27">
        <f>33+6</f>
        <v>39</v>
      </c>
      <c r="G23" s="39">
        <f t="shared" si="3"/>
        <v>0.4167111870926381</v>
      </c>
      <c r="H23" s="27">
        <f>57+15</f>
        <v>72</v>
      </c>
      <c r="I23" s="39">
        <f t="shared" si="4"/>
        <v>0.84033613445378152</v>
      </c>
      <c r="J23" s="27">
        <f>56+15</f>
        <v>71</v>
      </c>
      <c r="K23" s="39">
        <f t="shared" si="5"/>
        <v>0.87309394982784061</v>
      </c>
      <c r="L23" s="27">
        <f>56+7</f>
        <v>63</v>
      </c>
      <c r="M23" s="39">
        <f t="shared" si="6"/>
        <v>0.74573863636363635</v>
      </c>
      <c r="N23" s="27">
        <f>31+12</f>
        <v>43</v>
      </c>
      <c r="O23" s="39">
        <f t="shared" si="7"/>
        <v>0.54128902316213501</v>
      </c>
      <c r="P23" s="27">
        <f>23+3</f>
        <v>26</v>
      </c>
      <c r="Q23" s="39">
        <f t="shared" si="8"/>
        <v>0.33209860774045219</v>
      </c>
      <c r="R23" s="27">
        <f>34+3</f>
        <v>37</v>
      </c>
      <c r="S23" s="39">
        <f t="shared" si="9"/>
        <v>0.42213348545350826</v>
      </c>
      <c r="T23" s="27">
        <v>31</v>
      </c>
      <c r="U23" s="39">
        <f t="shared" si="10"/>
        <v>0.38172638837581579</v>
      </c>
    </row>
    <row r="24" spans="1:21" ht="18.75" customHeight="1">
      <c r="A24" s="46" t="s">
        <v>78</v>
      </c>
      <c r="B24" s="27">
        <f>28+7</f>
        <v>35</v>
      </c>
      <c r="C24" s="39">
        <f t="shared" si="1"/>
        <v>0.30747606079240974</v>
      </c>
      <c r="D24" s="27">
        <f>35+4</f>
        <v>39</v>
      </c>
      <c r="E24" s="39">
        <f t="shared" si="2"/>
        <v>0.37593984962406013</v>
      </c>
      <c r="F24" s="27">
        <f>54+3</f>
        <v>57</v>
      </c>
      <c r="G24" s="39">
        <f t="shared" si="3"/>
        <v>0.60903942728924032</v>
      </c>
      <c r="H24" s="27">
        <f>36+4</f>
        <v>40</v>
      </c>
      <c r="I24" s="39">
        <f t="shared" si="4"/>
        <v>0.46685340802987862</v>
      </c>
      <c r="J24" s="27">
        <f>31+5</f>
        <v>36</v>
      </c>
      <c r="K24" s="39">
        <f t="shared" si="5"/>
        <v>0.4426955238563699</v>
      </c>
      <c r="L24" s="27">
        <f>30+3</f>
        <v>33</v>
      </c>
      <c r="M24" s="39">
        <f t="shared" si="6"/>
        <v>0.390625</v>
      </c>
      <c r="N24" s="27">
        <f>31+3</f>
        <v>34</v>
      </c>
      <c r="O24" s="39">
        <f t="shared" si="7"/>
        <v>0.42799597180261834</v>
      </c>
      <c r="P24" s="27">
        <f>25+1</f>
        <v>26</v>
      </c>
      <c r="Q24" s="39">
        <f t="shared" si="8"/>
        <v>0.33209860774045219</v>
      </c>
      <c r="R24" s="27">
        <f>35+1</f>
        <v>36</v>
      </c>
      <c r="S24" s="39">
        <f t="shared" si="9"/>
        <v>0.41072447233314313</v>
      </c>
      <c r="T24" s="27">
        <v>29</v>
      </c>
      <c r="U24" s="39">
        <f t="shared" si="10"/>
        <v>0.35709887944834379</v>
      </c>
    </row>
    <row r="25" spans="1:21" ht="18.75" customHeight="1">
      <c r="A25" s="46" t="s">
        <v>86</v>
      </c>
      <c r="B25" s="27">
        <f>19+0</f>
        <v>19</v>
      </c>
      <c r="C25" s="39">
        <f t="shared" si="1"/>
        <v>0.1669155758587367</v>
      </c>
      <c r="D25" s="27">
        <f>18+1</f>
        <v>19</v>
      </c>
      <c r="E25" s="39">
        <f t="shared" si="2"/>
        <v>0.18315018315018314</v>
      </c>
      <c r="F25" s="27">
        <f>21+0</f>
        <v>21</v>
      </c>
      <c r="G25" s="39">
        <f t="shared" si="3"/>
        <v>0.22438294689603588</v>
      </c>
      <c r="H25" s="27">
        <v>11</v>
      </c>
      <c r="I25" s="39">
        <f t="shared" si="4"/>
        <v>0.12838468720821661</v>
      </c>
      <c r="J25" s="27">
        <f>14+1</f>
        <v>15</v>
      </c>
      <c r="K25" s="39">
        <f t="shared" si="5"/>
        <v>0.18445646827348747</v>
      </c>
      <c r="L25" s="27">
        <f>10+1</f>
        <v>11</v>
      </c>
      <c r="M25" s="39">
        <f t="shared" si="6"/>
        <v>0.13020833333333331</v>
      </c>
      <c r="N25" s="27">
        <f>15+7</f>
        <v>22</v>
      </c>
      <c r="O25" s="39">
        <f t="shared" si="7"/>
        <v>0.27693856998992955</v>
      </c>
      <c r="P25" s="27">
        <f>13+2</f>
        <v>15</v>
      </c>
      <c r="Q25" s="39">
        <f t="shared" si="8"/>
        <v>0.19159535061949162</v>
      </c>
      <c r="R25" s="27">
        <f>12+3</f>
        <v>15</v>
      </c>
      <c r="S25" s="39">
        <f t="shared" si="9"/>
        <v>0.17113519680547634</v>
      </c>
      <c r="T25" s="27">
        <v>25</v>
      </c>
      <c r="U25" s="39">
        <f t="shared" si="10"/>
        <v>0.30784386159339983</v>
      </c>
    </row>
    <row r="26" spans="1:21" ht="18.75" customHeight="1">
      <c r="A26" s="46" t="s">
        <v>8</v>
      </c>
      <c r="B26" s="27">
        <f>31+6</f>
        <v>37</v>
      </c>
      <c r="C26" s="39">
        <f t="shared" si="1"/>
        <v>0.32504612140911882</v>
      </c>
      <c r="D26" s="27">
        <f>27+0</f>
        <v>27</v>
      </c>
      <c r="E26" s="39">
        <f t="shared" si="2"/>
        <v>0.26026604973973394</v>
      </c>
      <c r="F26" s="27">
        <f>21+4</f>
        <v>25</v>
      </c>
      <c r="G26" s="39">
        <f t="shared" si="3"/>
        <v>0.26712255582861416</v>
      </c>
      <c r="H26" s="27">
        <f>27+0</f>
        <v>27</v>
      </c>
      <c r="I26" s="39">
        <f t="shared" si="4"/>
        <v>0.31512605042016806</v>
      </c>
      <c r="J26" s="27">
        <v>23</v>
      </c>
      <c r="K26" s="39">
        <f t="shared" si="5"/>
        <v>0.28283325135268078</v>
      </c>
      <c r="L26" s="27">
        <f>37</f>
        <v>37</v>
      </c>
      <c r="M26" s="39">
        <f t="shared" si="6"/>
        <v>0.43797348484848481</v>
      </c>
      <c r="N26" s="27">
        <f>30+1</f>
        <v>31</v>
      </c>
      <c r="O26" s="39">
        <f t="shared" si="7"/>
        <v>0.39023162134944611</v>
      </c>
      <c r="P26" s="27">
        <f>25+0</f>
        <v>25</v>
      </c>
      <c r="Q26" s="39">
        <f t="shared" si="8"/>
        <v>0.31932558436581937</v>
      </c>
      <c r="R26" s="27">
        <f>29+0</f>
        <v>29</v>
      </c>
      <c r="S26" s="39">
        <f t="shared" si="9"/>
        <v>0.33086138049058755</v>
      </c>
      <c r="T26" s="27">
        <v>23</v>
      </c>
      <c r="U26" s="39">
        <f t="shared" si="10"/>
        <v>0.28321635266592782</v>
      </c>
    </row>
    <row r="27" spans="1:21" ht="18.75" customHeight="1">
      <c r="A27" s="46" t="s">
        <v>88</v>
      </c>
      <c r="B27" s="27">
        <f>10+9</f>
        <v>19</v>
      </c>
      <c r="C27" s="39">
        <f t="shared" si="1"/>
        <v>0.1669155758587367</v>
      </c>
      <c r="D27" s="27">
        <f>13+3</f>
        <v>16</v>
      </c>
      <c r="E27" s="39">
        <f t="shared" si="2"/>
        <v>0.1542317331791016</v>
      </c>
      <c r="F27" s="27">
        <f>16+3</f>
        <v>19</v>
      </c>
      <c r="G27" s="39">
        <f t="shared" si="3"/>
        <v>0.20301314242974675</v>
      </c>
      <c r="H27" s="27">
        <f>14+3</f>
        <v>17</v>
      </c>
      <c r="I27" s="39">
        <f t="shared" si="4"/>
        <v>0.1984126984126984</v>
      </c>
      <c r="J27" s="27">
        <f>8+4</f>
        <v>12</v>
      </c>
      <c r="K27" s="39">
        <f t="shared" si="5"/>
        <v>0.14756517461878996</v>
      </c>
      <c r="L27" s="27">
        <f>22+1</f>
        <v>23</v>
      </c>
      <c r="M27" s="39">
        <f t="shared" si="6"/>
        <v>0.2722537878787879</v>
      </c>
      <c r="N27" s="27">
        <f>7+2</f>
        <v>9</v>
      </c>
      <c r="O27" s="39">
        <f t="shared" si="7"/>
        <v>0.11329305135951663</v>
      </c>
      <c r="P27" s="27">
        <f>5+3</f>
        <v>8</v>
      </c>
      <c r="Q27" s="39">
        <f t="shared" si="8"/>
        <v>0.10218418699706221</v>
      </c>
      <c r="R27" s="27">
        <f>8+3</f>
        <v>11</v>
      </c>
      <c r="S27" s="39">
        <f t="shared" si="9"/>
        <v>0.12549914432401596</v>
      </c>
      <c r="T27" s="27">
        <v>14</v>
      </c>
      <c r="U27" s="39">
        <f t="shared" si="10"/>
        <v>0.17239256249230389</v>
      </c>
    </row>
    <row r="28" spans="1:21" ht="18.75" customHeight="1">
      <c r="A28" s="186" t="s">
        <v>580</v>
      </c>
      <c r="B28" s="27">
        <f>16+4</f>
        <v>20</v>
      </c>
      <c r="C28" s="39">
        <f t="shared" si="1"/>
        <v>0.17570060616709127</v>
      </c>
      <c r="D28" s="27">
        <f>13+3</f>
        <v>16</v>
      </c>
      <c r="E28" s="39">
        <f t="shared" si="2"/>
        <v>0.1542317331791016</v>
      </c>
      <c r="F28" s="27">
        <f>26+2</f>
        <v>28</v>
      </c>
      <c r="G28" s="39">
        <f t="shared" si="3"/>
        <v>0.29917726252804788</v>
      </c>
      <c r="H28" s="27">
        <f>20+9</f>
        <v>29</v>
      </c>
      <c r="I28" s="39">
        <f t="shared" si="4"/>
        <v>0.33846872082166202</v>
      </c>
      <c r="J28" s="27">
        <f>14+4</f>
        <v>18</v>
      </c>
      <c r="K28" s="39">
        <f t="shared" si="5"/>
        <v>0.22134776192818495</v>
      </c>
      <c r="L28" s="27">
        <f>10+6</f>
        <v>16</v>
      </c>
      <c r="M28" s="39">
        <f t="shared" si="6"/>
        <v>0.18939393939393939</v>
      </c>
      <c r="N28" s="27">
        <f>11+4</f>
        <v>15</v>
      </c>
      <c r="O28" s="39">
        <f t="shared" si="7"/>
        <v>0.18882175226586104</v>
      </c>
      <c r="P28" s="27">
        <f>10+1</f>
        <v>11</v>
      </c>
      <c r="Q28" s="39">
        <f t="shared" si="8"/>
        <v>0.14050325712096054</v>
      </c>
      <c r="R28" s="27">
        <f>14+3</f>
        <v>17</v>
      </c>
      <c r="S28" s="39">
        <f t="shared" si="9"/>
        <v>0.19395322304620652</v>
      </c>
      <c r="T28" s="27">
        <v>13</v>
      </c>
      <c r="U28" s="39">
        <f t="shared" si="10"/>
        <v>0.16007880802856791</v>
      </c>
    </row>
    <row r="29" spans="1:21" ht="18.75" customHeight="1">
      <c r="A29" s="186" t="s">
        <v>582</v>
      </c>
      <c r="B29" s="27">
        <f>9+2</f>
        <v>11</v>
      </c>
      <c r="C29" s="39">
        <f t="shared" si="1"/>
        <v>9.6635333391900197E-2</v>
      </c>
      <c r="D29" s="27">
        <v>2</v>
      </c>
      <c r="E29" s="39">
        <f t="shared" si="2"/>
        <v>1.9278966647387701E-2</v>
      </c>
      <c r="F29" s="27">
        <f>8+1</f>
        <v>9</v>
      </c>
      <c r="G29" s="39">
        <f t="shared" si="3"/>
        <v>9.6164120098301095E-2</v>
      </c>
      <c r="H29" s="27">
        <f>6+1</f>
        <v>7</v>
      </c>
      <c r="I29" s="39">
        <f t="shared" si="4"/>
        <v>8.1699346405228759E-2</v>
      </c>
      <c r="J29" s="27">
        <f>15+2</f>
        <v>17</v>
      </c>
      <c r="K29" s="39">
        <f t="shared" si="5"/>
        <v>0.20905066404328579</v>
      </c>
      <c r="L29" s="27">
        <f>5+1</f>
        <v>6</v>
      </c>
      <c r="M29" s="39">
        <f t="shared" si="6"/>
        <v>7.1022727272727279E-2</v>
      </c>
      <c r="N29" s="27">
        <f>6+3</f>
        <v>9</v>
      </c>
      <c r="O29" s="39">
        <f t="shared" si="7"/>
        <v>0.11329305135951663</v>
      </c>
      <c r="P29" s="27">
        <f>7+0</f>
        <v>7</v>
      </c>
      <c r="Q29" s="39">
        <f t="shared" si="8"/>
        <v>8.9411163622429429E-2</v>
      </c>
      <c r="R29" s="27">
        <f>5+3</f>
        <v>8</v>
      </c>
      <c r="S29" s="39">
        <f t="shared" si="9"/>
        <v>9.1272104962920708E-2</v>
      </c>
      <c r="T29" s="27">
        <v>12</v>
      </c>
      <c r="U29" s="39">
        <f t="shared" si="10"/>
        <v>0.14776505356483191</v>
      </c>
    </row>
    <row r="30" spans="1:21" ht="18.75" customHeight="1">
      <c r="A30" s="46" t="s">
        <v>85</v>
      </c>
      <c r="B30" s="27">
        <f>39+4</f>
        <v>43</v>
      </c>
      <c r="C30" s="39">
        <f t="shared" si="1"/>
        <v>0.37775630325924625</v>
      </c>
      <c r="D30" s="27">
        <f>31+2</f>
        <v>33</v>
      </c>
      <c r="E30" s="39">
        <f t="shared" si="2"/>
        <v>0.31810294968189706</v>
      </c>
      <c r="F30" s="27">
        <f>13+6</f>
        <v>19</v>
      </c>
      <c r="G30" s="39">
        <f t="shared" si="3"/>
        <v>0.20301314242974675</v>
      </c>
      <c r="H30" s="27">
        <f>23+3</f>
        <v>26</v>
      </c>
      <c r="I30" s="39">
        <f t="shared" si="4"/>
        <v>0.30345471521942113</v>
      </c>
      <c r="J30" s="27">
        <f>10+2</f>
        <v>12</v>
      </c>
      <c r="K30" s="39">
        <f t="shared" si="5"/>
        <v>0.14756517461878996</v>
      </c>
      <c r="L30" s="27">
        <f>22+0</f>
        <v>22</v>
      </c>
      <c r="M30" s="39">
        <f t="shared" si="6"/>
        <v>0.26041666666666663</v>
      </c>
      <c r="N30" s="27">
        <f>15+1</f>
        <v>16</v>
      </c>
      <c r="O30" s="39">
        <f t="shared" si="7"/>
        <v>0.2014098690835851</v>
      </c>
      <c r="P30" s="27">
        <f>11+1</f>
        <v>12</v>
      </c>
      <c r="Q30" s="39">
        <f t="shared" si="8"/>
        <v>0.1532762804955933</v>
      </c>
      <c r="R30" s="27">
        <f>15+1</f>
        <v>16</v>
      </c>
      <c r="S30" s="39">
        <f t="shared" si="9"/>
        <v>0.18254420992584142</v>
      </c>
      <c r="T30" s="27">
        <v>8</v>
      </c>
      <c r="U30" s="39">
        <f t="shared" si="10"/>
        <v>9.8510035709887936E-2</v>
      </c>
    </row>
    <row r="31" spans="1:21" ht="18.75" customHeight="1">
      <c r="A31" s="46" t="s">
        <v>90</v>
      </c>
      <c r="B31" s="27">
        <v>2</v>
      </c>
      <c r="C31" s="39">
        <f t="shared" si="1"/>
        <v>1.7570060616709127E-2</v>
      </c>
      <c r="D31" s="27">
        <v>7</v>
      </c>
      <c r="E31" s="39">
        <f t="shared" si="2"/>
        <v>6.7476383265856948E-2</v>
      </c>
      <c r="F31" s="27">
        <v>11</v>
      </c>
      <c r="G31" s="39">
        <f t="shared" si="3"/>
        <v>0.11753392456459023</v>
      </c>
      <c r="H31" s="27">
        <v>1</v>
      </c>
      <c r="I31" s="39">
        <f t="shared" si="4"/>
        <v>1.1671335200746966E-2</v>
      </c>
      <c r="J31" s="27">
        <f>4+1</f>
        <v>5</v>
      </c>
      <c r="K31" s="39">
        <f t="shared" si="5"/>
        <v>6.1485489424495818E-2</v>
      </c>
      <c r="L31" s="27">
        <v>7</v>
      </c>
      <c r="M31" s="39">
        <f t="shared" si="6"/>
        <v>8.2859848484848481E-2</v>
      </c>
      <c r="N31" s="27">
        <f>2+1</f>
        <v>3</v>
      </c>
      <c r="O31" s="39">
        <f t="shared" si="7"/>
        <v>3.7764350453172203E-2</v>
      </c>
      <c r="P31" s="27">
        <f>5+0</f>
        <v>5</v>
      </c>
      <c r="Q31" s="39">
        <f t="shared" si="8"/>
        <v>6.3865116873163874E-2</v>
      </c>
      <c r="R31" s="27">
        <f>7+0</f>
        <v>7</v>
      </c>
      <c r="S31" s="39">
        <f t="shared" si="9"/>
        <v>7.986309184255562E-2</v>
      </c>
      <c r="T31" s="27">
        <v>6</v>
      </c>
      <c r="U31" s="39">
        <f t="shared" si="10"/>
        <v>7.3882526782415955E-2</v>
      </c>
    </row>
    <row r="32" spans="1:21" ht="18.75" customHeight="1">
      <c r="A32" s="46" t="s">
        <v>87</v>
      </c>
      <c r="B32" s="27">
        <f>9+9</f>
        <v>18</v>
      </c>
      <c r="C32" s="39">
        <f t="shared" si="1"/>
        <v>0.15813054555038217</v>
      </c>
      <c r="D32" s="27">
        <v>12</v>
      </c>
      <c r="E32" s="39">
        <f t="shared" si="2"/>
        <v>0.11567379988432619</v>
      </c>
      <c r="F32" s="27">
        <f>11+15</f>
        <v>26</v>
      </c>
      <c r="G32" s="39">
        <f t="shared" si="3"/>
        <v>0.27780745806175872</v>
      </c>
      <c r="H32" s="27">
        <f>9+7</f>
        <v>16</v>
      </c>
      <c r="I32" s="39">
        <f t="shared" si="4"/>
        <v>0.18674136321195145</v>
      </c>
      <c r="J32" s="27">
        <f>4+6</f>
        <v>10</v>
      </c>
      <c r="K32" s="39">
        <f t="shared" si="5"/>
        <v>0.12297097884899164</v>
      </c>
      <c r="L32" s="27">
        <f>9+4</f>
        <v>13</v>
      </c>
      <c r="M32" s="39">
        <f t="shared" si="6"/>
        <v>0.15388257575757575</v>
      </c>
      <c r="N32" s="27">
        <f>3+6</f>
        <v>9</v>
      </c>
      <c r="O32" s="39">
        <f t="shared" si="7"/>
        <v>0.11329305135951663</v>
      </c>
      <c r="P32" s="27">
        <f>6+5</f>
        <v>11</v>
      </c>
      <c r="Q32" s="39">
        <f t="shared" si="8"/>
        <v>0.14050325712096054</v>
      </c>
      <c r="R32" s="27">
        <f>7+5</f>
        <v>12</v>
      </c>
      <c r="S32" s="39">
        <f t="shared" si="9"/>
        <v>0.13690815744438106</v>
      </c>
      <c r="T32" s="27">
        <v>6</v>
      </c>
      <c r="U32" s="39">
        <f t="shared" si="10"/>
        <v>7.3882526782415955E-2</v>
      </c>
    </row>
    <row r="33" spans="1:21" ht="18.75" customHeight="1">
      <c r="A33" s="46" t="s">
        <v>94</v>
      </c>
      <c r="B33" s="27">
        <f>13+2</f>
        <v>15</v>
      </c>
      <c r="C33" s="39">
        <f t="shared" si="1"/>
        <v>0.13177545462531845</v>
      </c>
      <c r="D33" s="27">
        <f>10+7</f>
        <v>17</v>
      </c>
      <c r="E33" s="39">
        <f t="shared" si="2"/>
        <v>0.16387121650279546</v>
      </c>
      <c r="F33" s="27">
        <f>8+1</f>
        <v>9</v>
      </c>
      <c r="G33" s="39">
        <f t="shared" si="3"/>
        <v>9.6164120098301095E-2</v>
      </c>
      <c r="H33" s="27">
        <f>2+1</f>
        <v>3</v>
      </c>
      <c r="I33" s="39">
        <f t="shared" si="4"/>
        <v>3.5014005602240897E-2</v>
      </c>
      <c r="J33" s="27">
        <f>7+1</f>
        <v>8</v>
      </c>
      <c r="K33" s="39">
        <f t="shared" si="5"/>
        <v>9.83767830791933E-2</v>
      </c>
      <c r="L33" s="27">
        <f>6+0</f>
        <v>6</v>
      </c>
      <c r="M33" s="39">
        <f t="shared" si="6"/>
        <v>7.1022727272727279E-2</v>
      </c>
      <c r="N33" s="27">
        <v>2</v>
      </c>
      <c r="O33" s="39">
        <f t="shared" si="7"/>
        <v>2.5176233635448138E-2</v>
      </c>
      <c r="P33" s="27">
        <f>3+2</f>
        <v>5</v>
      </c>
      <c r="Q33" s="39">
        <f t="shared" si="8"/>
        <v>6.3865116873163874E-2</v>
      </c>
      <c r="R33" s="27">
        <f>2+1</f>
        <v>3</v>
      </c>
      <c r="S33" s="39">
        <f t="shared" si="9"/>
        <v>3.4227039361095266E-2</v>
      </c>
      <c r="T33" s="27">
        <v>3</v>
      </c>
      <c r="U33" s="39">
        <f t="shared" si="10"/>
        <v>3.6941263391207978E-2</v>
      </c>
    </row>
    <row r="34" spans="1:21" ht="18.75" customHeight="1">
      <c r="A34" s="46" t="s">
        <v>91</v>
      </c>
      <c r="B34" s="27">
        <f>2+2</f>
        <v>4</v>
      </c>
      <c r="C34" s="39">
        <f t="shared" si="1"/>
        <v>3.5140121233418253E-2</v>
      </c>
      <c r="D34" s="27">
        <v>16</v>
      </c>
      <c r="E34" s="39">
        <f t="shared" si="2"/>
        <v>0.1542317331791016</v>
      </c>
      <c r="F34" s="27">
        <f>7+4</f>
        <v>11</v>
      </c>
      <c r="G34" s="39">
        <f t="shared" si="3"/>
        <v>0.11753392456459023</v>
      </c>
      <c r="H34" s="27">
        <f>4+1</f>
        <v>5</v>
      </c>
      <c r="I34" s="39">
        <f t="shared" si="4"/>
        <v>5.8356676003734828E-2</v>
      </c>
      <c r="J34" s="27">
        <v>5</v>
      </c>
      <c r="K34" s="39">
        <f t="shared" si="5"/>
        <v>6.1485489424495818E-2</v>
      </c>
      <c r="L34" s="27">
        <f>2+3</f>
        <v>5</v>
      </c>
      <c r="M34" s="39">
        <f t="shared" si="6"/>
        <v>5.9185606060606064E-2</v>
      </c>
      <c r="N34" s="27">
        <f>5+0</f>
        <v>5</v>
      </c>
      <c r="O34" s="39">
        <f t="shared" si="7"/>
        <v>6.2940584088620341E-2</v>
      </c>
      <c r="P34" s="27">
        <f>4+1</f>
        <v>5</v>
      </c>
      <c r="Q34" s="39">
        <f t="shared" si="8"/>
        <v>6.3865116873163874E-2</v>
      </c>
      <c r="R34" s="27">
        <f>4+1</f>
        <v>5</v>
      </c>
      <c r="S34" s="39">
        <f t="shared" si="9"/>
        <v>5.7045065601825436E-2</v>
      </c>
      <c r="T34" s="27">
        <v>2</v>
      </c>
      <c r="U34" s="39">
        <f t="shared" si="10"/>
        <v>2.4627508927471984E-2</v>
      </c>
    </row>
    <row r="35" spans="1:21" ht="18.75" customHeight="1">
      <c r="A35" s="46" t="s">
        <v>93</v>
      </c>
      <c r="B35" s="27">
        <f>1+8</f>
        <v>9</v>
      </c>
      <c r="C35" s="39">
        <f t="shared" si="1"/>
        <v>7.9065272775191084E-2</v>
      </c>
      <c r="D35" s="27">
        <f>4+12</f>
        <v>16</v>
      </c>
      <c r="E35" s="39">
        <f t="shared" si="2"/>
        <v>0.1542317331791016</v>
      </c>
      <c r="F35" s="27">
        <f>3+10</f>
        <v>13</v>
      </c>
      <c r="G35" s="39">
        <f t="shared" si="3"/>
        <v>0.13890372903087936</v>
      </c>
      <c r="H35" s="27">
        <f>5+5</f>
        <v>10</v>
      </c>
      <c r="I35" s="39">
        <f t="shared" si="4"/>
        <v>0.11671335200746966</v>
      </c>
      <c r="J35" s="27">
        <f>1+8</f>
        <v>9</v>
      </c>
      <c r="K35" s="39">
        <f t="shared" si="5"/>
        <v>0.11067388096409247</v>
      </c>
      <c r="L35" s="27">
        <f>1+11</f>
        <v>12</v>
      </c>
      <c r="M35" s="39">
        <f t="shared" si="6"/>
        <v>0.14204545454545456</v>
      </c>
      <c r="N35" s="27">
        <f>3+1</f>
        <v>4</v>
      </c>
      <c r="O35" s="39">
        <f t="shared" si="7"/>
        <v>5.0352467270896276E-2</v>
      </c>
      <c r="P35" s="27">
        <f>3+4</f>
        <v>7</v>
      </c>
      <c r="Q35" s="39">
        <f t="shared" si="8"/>
        <v>8.9411163622429429E-2</v>
      </c>
      <c r="R35" s="27">
        <f>1+2</f>
        <v>3</v>
      </c>
      <c r="S35" s="39">
        <f t="shared" si="9"/>
        <v>3.4227039361095266E-2</v>
      </c>
      <c r="T35" s="27">
        <v>2</v>
      </c>
      <c r="U35" s="39">
        <f t="shared" si="10"/>
        <v>2.4627508927471984E-2</v>
      </c>
    </row>
    <row r="36" spans="1:21" ht="18.75" customHeight="1">
      <c r="A36" s="46" t="s">
        <v>13</v>
      </c>
      <c r="B36" s="27">
        <f>23+11</f>
        <v>34</v>
      </c>
      <c r="C36" s="39">
        <f t="shared" si="1"/>
        <v>0.29869103048405521</v>
      </c>
      <c r="D36" s="27">
        <f>17+3</f>
        <v>20</v>
      </c>
      <c r="E36" s="39">
        <f t="shared" si="2"/>
        <v>0.19278966647387699</v>
      </c>
      <c r="F36" s="27">
        <f>3+4</f>
        <v>7</v>
      </c>
      <c r="G36" s="39">
        <f t="shared" si="3"/>
        <v>7.4794315632011971E-2</v>
      </c>
      <c r="H36" s="27">
        <f>8+3</f>
        <v>11</v>
      </c>
      <c r="I36" s="39">
        <f t="shared" si="4"/>
        <v>0.12838468720821661</v>
      </c>
      <c r="J36" s="27">
        <f>3+2</f>
        <v>5</v>
      </c>
      <c r="K36" s="39">
        <f t="shared" si="5"/>
        <v>6.1485489424495818E-2</v>
      </c>
      <c r="L36" s="27">
        <f>5+1</f>
        <v>6</v>
      </c>
      <c r="M36" s="39">
        <f t="shared" si="6"/>
        <v>7.1022727272727279E-2</v>
      </c>
      <c r="N36" s="27">
        <v>4</v>
      </c>
      <c r="O36" s="39">
        <f t="shared" si="7"/>
        <v>5.0352467270896276E-2</v>
      </c>
      <c r="P36" s="27">
        <f>2+3</f>
        <v>5</v>
      </c>
      <c r="Q36" s="39">
        <f t="shared" si="8"/>
        <v>6.3865116873163874E-2</v>
      </c>
      <c r="R36" s="27">
        <f>1+1</f>
        <v>2</v>
      </c>
      <c r="S36" s="39">
        <f t="shared" si="9"/>
        <v>2.2818026240730177E-2</v>
      </c>
      <c r="T36" s="27">
        <v>2</v>
      </c>
      <c r="U36" s="39">
        <f t="shared" si="10"/>
        <v>2.4627508927471984E-2</v>
      </c>
    </row>
    <row r="37" spans="1:21" ht="18.75" customHeight="1">
      <c r="A37" s="46" t="s">
        <v>99</v>
      </c>
      <c r="B37" s="27">
        <v>1</v>
      </c>
      <c r="C37" s="39">
        <f t="shared" ref="C37:C68" si="11">IFERROR(B37/B$4*100,"-")</f>
        <v>8.7850303083545633E-3</v>
      </c>
      <c r="D37" s="27" t="s">
        <v>19</v>
      </c>
      <c r="E37" s="39" t="str">
        <f t="shared" ref="E37:E68" si="12">IFERROR(D37/D$4*100,"-")</f>
        <v>-</v>
      </c>
      <c r="F37" s="27" t="s">
        <v>19</v>
      </c>
      <c r="G37" s="39" t="str">
        <f t="shared" ref="G37:G68" si="13">IFERROR(F37/F$4*100,"-")</f>
        <v>-</v>
      </c>
      <c r="H37" s="27">
        <v>1</v>
      </c>
      <c r="I37" s="39">
        <f t="shared" ref="I37:I68" si="14">IFERROR(H37/H$4*100,"-")</f>
        <v>1.1671335200746966E-2</v>
      </c>
      <c r="J37" s="27">
        <v>1</v>
      </c>
      <c r="K37" s="39">
        <f t="shared" ref="K37:K68" si="15">IFERROR(J37/J$4*100,"-")</f>
        <v>1.2297097884899163E-2</v>
      </c>
      <c r="L37" s="27" t="s">
        <v>19</v>
      </c>
      <c r="M37" s="39" t="str">
        <f t="shared" ref="M37:M68" si="16">IFERROR(L37/L$4*100,"-")</f>
        <v>-</v>
      </c>
      <c r="N37" s="27" t="s">
        <v>19</v>
      </c>
      <c r="O37" s="39" t="str">
        <f t="shared" ref="O37:O68" si="17">IFERROR(N37/N$4*100,"-")</f>
        <v>-</v>
      </c>
      <c r="P37" s="27" t="s">
        <v>19</v>
      </c>
      <c r="Q37" s="39" t="str">
        <f t="shared" ref="Q37:Q68" si="18">IFERROR(P37/P$4*100,"-")</f>
        <v>-</v>
      </c>
      <c r="R37" s="27">
        <f>1+0</f>
        <v>1</v>
      </c>
      <c r="S37" s="39">
        <f t="shared" ref="S37:S68" si="19">IFERROR(R37/R$4*100,"-")</f>
        <v>1.1409013120365089E-2</v>
      </c>
      <c r="T37" s="27">
        <v>1</v>
      </c>
      <c r="U37" s="39">
        <f t="shared" ref="U37:U68" si="20">IFERROR(T37/T$4*100,"-")</f>
        <v>1.2313754463735992E-2</v>
      </c>
    </row>
    <row r="38" spans="1:21" ht="18.75" customHeight="1">
      <c r="A38" s="46" t="s">
        <v>106</v>
      </c>
      <c r="B38" s="27" t="s">
        <v>19</v>
      </c>
      <c r="C38" s="39" t="str">
        <f t="shared" si="11"/>
        <v>-</v>
      </c>
      <c r="D38" s="27" t="s">
        <v>19</v>
      </c>
      <c r="E38" s="39" t="str">
        <f t="shared" si="12"/>
        <v>-</v>
      </c>
      <c r="F38" s="27">
        <v>5</v>
      </c>
      <c r="G38" s="39">
        <f t="shared" si="13"/>
        <v>5.3424511165722832E-2</v>
      </c>
      <c r="H38" s="27">
        <v>3</v>
      </c>
      <c r="I38" s="39">
        <f t="shared" si="14"/>
        <v>3.5014005602240897E-2</v>
      </c>
      <c r="J38" s="27">
        <f>1+1</f>
        <v>2</v>
      </c>
      <c r="K38" s="39">
        <f t="shared" si="15"/>
        <v>2.4594195769798325E-2</v>
      </c>
      <c r="L38" s="27">
        <v>1</v>
      </c>
      <c r="M38" s="39">
        <f t="shared" si="16"/>
        <v>1.1837121212121212E-2</v>
      </c>
      <c r="N38" s="27">
        <v>3</v>
      </c>
      <c r="O38" s="39">
        <f t="shared" si="17"/>
        <v>3.7764350453172203E-2</v>
      </c>
      <c r="P38" s="27" t="s">
        <v>19</v>
      </c>
      <c r="Q38" s="39" t="str">
        <f t="shared" si="18"/>
        <v>-</v>
      </c>
      <c r="R38" s="27" t="s">
        <v>9</v>
      </c>
      <c r="S38" s="39" t="str">
        <f t="shared" si="19"/>
        <v>-</v>
      </c>
      <c r="T38" s="27">
        <v>1</v>
      </c>
      <c r="U38" s="39">
        <f t="shared" si="20"/>
        <v>1.2313754463735992E-2</v>
      </c>
    </row>
    <row r="39" spans="1:21" ht="18.75" customHeight="1">
      <c r="A39" s="186" t="s">
        <v>581</v>
      </c>
      <c r="B39" s="27">
        <v>3</v>
      </c>
      <c r="C39" s="39">
        <f t="shared" si="11"/>
        <v>2.635509092506369E-2</v>
      </c>
      <c r="D39" s="27">
        <v>1</v>
      </c>
      <c r="E39" s="39">
        <f t="shared" si="12"/>
        <v>9.6394833236938503E-3</v>
      </c>
      <c r="F39" s="27" t="s">
        <v>19</v>
      </c>
      <c r="G39" s="39" t="str">
        <f t="shared" si="13"/>
        <v>-</v>
      </c>
      <c r="H39" s="27">
        <v>1</v>
      </c>
      <c r="I39" s="39">
        <f t="shared" si="14"/>
        <v>1.1671335200746966E-2</v>
      </c>
      <c r="J39" s="27">
        <v>2</v>
      </c>
      <c r="K39" s="39">
        <f t="shared" si="15"/>
        <v>2.4594195769798325E-2</v>
      </c>
      <c r="L39" s="27">
        <v>1</v>
      </c>
      <c r="M39" s="39">
        <f t="shared" si="16"/>
        <v>1.1837121212121212E-2</v>
      </c>
      <c r="N39" s="27">
        <f>2+1</f>
        <v>3</v>
      </c>
      <c r="O39" s="39">
        <f t="shared" si="17"/>
        <v>3.7764350453172203E-2</v>
      </c>
      <c r="P39" s="27">
        <f>1+0</f>
        <v>1</v>
      </c>
      <c r="Q39" s="39">
        <f t="shared" si="18"/>
        <v>1.2773023374632776E-2</v>
      </c>
      <c r="R39" s="27">
        <f>1+0</f>
        <v>1</v>
      </c>
      <c r="S39" s="39">
        <f t="shared" si="19"/>
        <v>1.1409013120365089E-2</v>
      </c>
      <c r="T39" s="27">
        <v>1</v>
      </c>
      <c r="U39" s="39">
        <f t="shared" si="20"/>
        <v>1.2313754463735992E-2</v>
      </c>
    </row>
    <row r="40" spans="1:21" ht="18.75" customHeight="1">
      <c r="A40" s="46" t="s">
        <v>109</v>
      </c>
      <c r="B40" s="27">
        <v>4</v>
      </c>
      <c r="C40" s="39">
        <f t="shared" si="11"/>
        <v>3.5140121233418253E-2</v>
      </c>
      <c r="D40" s="27">
        <v>1</v>
      </c>
      <c r="E40" s="39">
        <f t="shared" si="12"/>
        <v>9.6394833236938503E-3</v>
      </c>
      <c r="F40" s="27">
        <v>1</v>
      </c>
      <c r="G40" s="39">
        <f t="shared" si="13"/>
        <v>1.0684902233144567E-2</v>
      </c>
      <c r="H40" s="27" t="s">
        <v>19</v>
      </c>
      <c r="I40" s="39" t="str">
        <f t="shared" si="14"/>
        <v>-</v>
      </c>
      <c r="J40" s="27">
        <v>1</v>
      </c>
      <c r="K40" s="39">
        <f t="shared" si="15"/>
        <v>1.2297097884899163E-2</v>
      </c>
      <c r="L40" s="27">
        <v>1</v>
      </c>
      <c r="M40" s="39">
        <f t="shared" si="16"/>
        <v>1.1837121212121212E-2</v>
      </c>
      <c r="N40" s="27" t="s">
        <v>19</v>
      </c>
      <c r="O40" s="39" t="str">
        <f t="shared" si="17"/>
        <v>-</v>
      </c>
      <c r="P40" s="27" t="s">
        <v>19</v>
      </c>
      <c r="Q40" s="39" t="str">
        <f t="shared" si="18"/>
        <v>-</v>
      </c>
      <c r="R40" s="27" t="s">
        <v>9</v>
      </c>
      <c r="S40" s="39" t="str">
        <f t="shared" si="19"/>
        <v>-</v>
      </c>
      <c r="T40" s="27">
        <v>1</v>
      </c>
      <c r="U40" s="39">
        <f t="shared" si="20"/>
        <v>1.2313754463735992E-2</v>
      </c>
    </row>
    <row r="41" spans="1:21" ht="18.75" customHeight="1">
      <c r="A41" s="46" t="s">
        <v>486</v>
      </c>
      <c r="B41" s="27" t="s">
        <v>9</v>
      </c>
      <c r="C41" s="39" t="str">
        <f t="shared" si="11"/>
        <v>-</v>
      </c>
      <c r="D41" s="27" t="s">
        <v>9</v>
      </c>
      <c r="E41" s="39" t="str">
        <f t="shared" si="12"/>
        <v>-</v>
      </c>
      <c r="F41" s="27" t="s">
        <v>9</v>
      </c>
      <c r="G41" s="39" t="str">
        <f t="shared" si="13"/>
        <v>-</v>
      </c>
      <c r="H41" s="27" t="s">
        <v>9</v>
      </c>
      <c r="I41" s="39" t="str">
        <f t="shared" si="14"/>
        <v>-</v>
      </c>
      <c r="J41" s="27" t="s">
        <v>9</v>
      </c>
      <c r="K41" s="39" t="str">
        <f t="shared" si="15"/>
        <v>-</v>
      </c>
      <c r="L41" s="27" t="s">
        <v>9</v>
      </c>
      <c r="M41" s="39" t="str">
        <f t="shared" si="16"/>
        <v>-</v>
      </c>
      <c r="N41" s="27" t="s">
        <v>9</v>
      </c>
      <c r="O41" s="39" t="str">
        <f t="shared" si="17"/>
        <v>-</v>
      </c>
      <c r="P41" s="27" t="s">
        <v>9</v>
      </c>
      <c r="Q41" s="39" t="str">
        <f t="shared" si="18"/>
        <v>-</v>
      </c>
      <c r="R41" s="27" t="s">
        <v>9</v>
      </c>
      <c r="S41" s="39" t="str">
        <f t="shared" si="19"/>
        <v>-</v>
      </c>
      <c r="T41" s="27">
        <v>1</v>
      </c>
      <c r="U41" s="39">
        <f t="shared" si="20"/>
        <v>1.2313754463735992E-2</v>
      </c>
    </row>
    <row r="42" spans="1:21" ht="18.75" customHeight="1">
      <c r="A42" s="46" t="s">
        <v>97</v>
      </c>
      <c r="B42" s="27">
        <v>12</v>
      </c>
      <c r="C42" s="39">
        <f t="shared" si="11"/>
        <v>0.10542036370025476</v>
      </c>
      <c r="D42" s="27">
        <f>14+2</f>
        <v>16</v>
      </c>
      <c r="E42" s="39">
        <f t="shared" si="12"/>
        <v>0.1542317331791016</v>
      </c>
      <c r="F42" s="27">
        <f>6+1</f>
        <v>7</v>
      </c>
      <c r="G42" s="39">
        <f t="shared" si="13"/>
        <v>7.4794315632011971E-2</v>
      </c>
      <c r="H42" s="27">
        <v>3</v>
      </c>
      <c r="I42" s="39">
        <f t="shared" si="14"/>
        <v>3.5014005602240897E-2</v>
      </c>
      <c r="J42" s="27">
        <v>4</v>
      </c>
      <c r="K42" s="39">
        <f t="shared" si="15"/>
        <v>4.918839153959665E-2</v>
      </c>
      <c r="L42" s="27">
        <v>2</v>
      </c>
      <c r="M42" s="39">
        <f t="shared" si="16"/>
        <v>2.3674242424242424E-2</v>
      </c>
      <c r="N42" s="27" t="s">
        <v>19</v>
      </c>
      <c r="O42" s="39" t="str">
        <f t="shared" si="17"/>
        <v>-</v>
      </c>
      <c r="P42" s="27">
        <f>1+0</f>
        <v>1</v>
      </c>
      <c r="Q42" s="39">
        <f t="shared" si="18"/>
        <v>1.2773023374632776E-2</v>
      </c>
      <c r="R42" s="27">
        <f>1+0</f>
        <v>1</v>
      </c>
      <c r="S42" s="39">
        <f t="shared" si="19"/>
        <v>1.1409013120365089E-2</v>
      </c>
      <c r="T42" s="27">
        <v>1</v>
      </c>
      <c r="U42" s="39">
        <f t="shared" si="20"/>
        <v>1.2313754463735992E-2</v>
      </c>
    </row>
    <row r="43" spans="1:21" ht="18.75" customHeight="1">
      <c r="A43" s="46" t="s">
        <v>118</v>
      </c>
      <c r="B43" s="27">
        <v>1</v>
      </c>
      <c r="C43" s="39">
        <f t="shared" si="11"/>
        <v>8.7850303083545633E-3</v>
      </c>
      <c r="D43" s="27" t="s">
        <v>19</v>
      </c>
      <c r="E43" s="39" t="str">
        <f t="shared" si="12"/>
        <v>-</v>
      </c>
      <c r="F43" s="27" t="s">
        <v>19</v>
      </c>
      <c r="G43" s="39" t="str">
        <f t="shared" si="13"/>
        <v>-</v>
      </c>
      <c r="H43" s="27" t="s">
        <v>19</v>
      </c>
      <c r="I43" s="39" t="str">
        <f t="shared" si="14"/>
        <v>-</v>
      </c>
      <c r="J43" s="27">
        <f>3+3</f>
        <v>6</v>
      </c>
      <c r="K43" s="39">
        <f t="shared" si="15"/>
        <v>7.3782587309394979E-2</v>
      </c>
      <c r="L43" s="27">
        <f>2+2</f>
        <v>4</v>
      </c>
      <c r="M43" s="39">
        <f t="shared" si="16"/>
        <v>4.7348484848484848E-2</v>
      </c>
      <c r="N43" s="27">
        <v>1</v>
      </c>
      <c r="O43" s="39">
        <f t="shared" si="17"/>
        <v>1.2588116817724069E-2</v>
      </c>
      <c r="P43" s="27" t="s">
        <v>19</v>
      </c>
      <c r="Q43" s="39" t="str">
        <f t="shared" si="18"/>
        <v>-</v>
      </c>
      <c r="R43" s="27" t="s">
        <v>9</v>
      </c>
      <c r="S43" s="39" t="str">
        <f t="shared" si="19"/>
        <v>-</v>
      </c>
      <c r="T43" s="27">
        <v>1</v>
      </c>
      <c r="U43" s="39">
        <f t="shared" si="20"/>
        <v>1.2313754463735992E-2</v>
      </c>
    </row>
    <row r="44" spans="1:21" ht="18.75" customHeight="1">
      <c r="A44" s="186" t="s">
        <v>579</v>
      </c>
      <c r="B44" s="27" t="s">
        <v>19</v>
      </c>
      <c r="C44" s="39" t="str">
        <f t="shared" si="11"/>
        <v>-</v>
      </c>
      <c r="D44" s="27">
        <v>1</v>
      </c>
      <c r="E44" s="39">
        <f t="shared" si="12"/>
        <v>9.6394833236938503E-3</v>
      </c>
      <c r="F44" s="27" t="s">
        <v>19</v>
      </c>
      <c r="G44" s="39" t="str">
        <f t="shared" si="13"/>
        <v>-</v>
      </c>
      <c r="H44" s="27" t="s">
        <v>19</v>
      </c>
      <c r="I44" s="39" t="str">
        <f t="shared" si="14"/>
        <v>-</v>
      </c>
      <c r="J44" s="27" t="s">
        <v>19</v>
      </c>
      <c r="K44" s="39" t="str">
        <f t="shared" si="15"/>
        <v>-</v>
      </c>
      <c r="L44" s="27">
        <f>3+1</f>
        <v>4</v>
      </c>
      <c r="M44" s="39">
        <f t="shared" si="16"/>
        <v>4.7348484848484848E-2</v>
      </c>
      <c r="N44" s="27" t="s">
        <v>19</v>
      </c>
      <c r="O44" s="39" t="str">
        <f t="shared" si="17"/>
        <v>-</v>
      </c>
      <c r="P44" s="27" t="s">
        <v>19</v>
      </c>
      <c r="Q44" s="39" t="str">
        <f t="shared" si="18"/>
        <v>-</v>
      </c>
      <c r="R44" s="27" t="s">
        <v>9</v>
      </c>
      <c r="S44" s="39" t="str">
        <f t="shared" si="19"/>
        <v>-</v>
      </c>
      <c r="T44" s="27" t="s">
        <v>9</v>
      </c>
      <c r="U44" s="39" t="str">
        <f t="shared" si="20"/>
        <v>-</v>
      </c>
    </row>
    <row r="45" spans="1:21" ht="18.75" customHeight="1">
      <c r="A45" s="46" t="s">
        <v>96</v>
      </c>
      <c r="B45" s="27" t="s">
        <v>19</v>
      </c>
      <c r="C45" s="39" t="str">
        <f t="shared" si="11"/>
        <v>-</v>
      </c>
      <c r="D45" s="27" t="s">
        <v>19</v>
      </c>
      <c r="E45" s="39" t="str">
        <f t="shared" si="12"/>
        <v>-</v>
      </c>
      <c r="F45" s="27" t="s">
        <v>19</v>
      </c>
      <c r="G45" s="39" t="str">
        <f t="shared" si="13"/>
        <v>-</v>
      </c>
      <c r="H45" s="27">
        <v>3</v>
      </c>
      <c r="I45" s="39">
        <f t="shared" si="14"/>
        <v>3.5014005602240897E-2</v>
      </c>
      <c r="J45" s="27" t="s">
        <v>19</v>
      </c>
      <c r="K45" s="39" t="str">
        <f t="shared" si="15"/>
        <v>-</v>
      </c>
      <c r="L45" s="27">
        <f>1+2</f>
        <v>3</v>
      </c>
      <c r="M45" s="39">
        <f t="shared" si="16"/>
        <v>3.551136363636364E-2</v>
      </c>
      <c r="N45" s="27">
        <v>1</v>
      </c>
      <c r="O45" s="39">
        <f t="shared" si="17"/>
        <v>1.2588116817724069E-2</v>
      </c>
      <c r="P45" s="27">
        <f>1+2</f>
        <v>3</v>
      </c>
      <c r="Q45" s="39">
        <f t="shared" si="18"/>
        <v>3.8319070123898326E-2</v>
      </c>
      <c r="R45" s="27">
        <f>1+1</f>
        <v>2</v>
      </c>
      <c r="S45" s="39">
        <f t="shared" si="19"/>
        <v>2.2818026240730177E-2</v>
      </c>
      <c r="T45" s="27">
        <v>3</v>
      </c>
      <c r="U45" s="39">
        <f t="shared" si="20"/>
        <v>3.6941263391207978E-2</v>
      </c>
    </row>
    <row r="46" spans="1:21" ht="18.75" customHeight="1">
      <c r="A46" s="46" t="s">
        <v>107</v>
      </c>
      <c r="B46" s="27" t="s">
        <v>19</v>
      </c>
      <c r="C46" s="39" t="str">
        <f t="shared" si="11"/>
        <v>-</v>
      </c>
      <c r="D46" s="27">
        <v>1</v>
      </c>
      <c r="E46" s="39">
        <f t="shared" si="12"/>
        <v>9.6394833236938503E-3</v>
      </c>
      <c r="F46" s="27" t="s">
        <v>19</v>
      </c>
      <c r="G46" s="39" t="str">
        <f t="shared" si="13"/>
        <v>-</v>
      </c>
      <c r="H46" s="27" t="s">
        <v>19</v>
      </c>
      <c r="I46" s="39" t="str">
        <f t="shared" si="14"/>
        <v>-</v>
      </c>
      <c r="J46" s="27" t="s">
        <v>19</v>
      </c>
      <c r="K46" s="39" t="str">
        <f t="shared" si="15"/>
        <v>-</v>
      </c>
      <c r="L46" s="27" t="s">
        <v>19</v>
      </c>
      <c r="M46" s="39" t="str">
        <f t="shared" si="16"/>
        <v>-</v>
      </c>
      <c r="N46" s="27" t="s">
        <v>19</v>
      </c>
      <c r="O46" s="39" t="str">
        <f t="shared" si="17"/>
        <v>-</v>
      </c>
      <c r="P46" s="27" t="s">
        <v>19</v>
      </c>
      <c r="Q46" s="39" t="str">
        <f t="shared" si="18"/>
        <v>-</v>
      </c>
      <c r="R46" s="27" t="s">
        <v>9</v>
      </c>
      <c r="S46" s="39" t="str">
        <f t="shared" si="19"/>
        <v>-</v>
      </c>
      <c r="T46" s="27" t="s">
        <v>9</v>
      </c>
      <c r="U46" s="39" t="str">
        <f t="shared" si="20"/>
        <v>-</v>
      </c>
    </row>
    <row r="47" spans="1:21" ht="18.75" customHeight="1">
      <c r="A47" s="46" t="s">
        <v>108</v>
      </c>
      <c r="B47" s="27" t="s">
        <v>19</v>
      </c>
      <c r="C47" s="39" t="str">
        <f t="shared" si="11"/>
        <v>-</v>
      </c>
      <c r="D47" s="27" t="s">
        <v>19</v>
      </c>
      <c r="E47" s="39" t="str">
        <f t="shared" si="12"/>
        <v>-</v>
      </c>
      <c r="F47" s="27" t="s">
        <v>19</v>
      </c>
      <c r="G47" s="39" t="str">
        <f t="shared" si="13"/>
        <v>-</v>
      </c>
      <c r="H47" s="27">
        <v>1</v>
      </c>
      <c r="I47" s="39">
        <f t="shared" si="14"/>
        <v>1.1671335200746966E-2</v>
      </c>
      <c r="J47" s="27" t="s">
        <v>19</v>
      </c>
      <c r="K47" s="39" t="str">
        <f t="shared" si="15"/>
        <v>-</v>
      </c>
      <c r="L47" s="27" t="s">
        <v>19</v>
      </c>
      <c r="M47" s="39" t="str">
        <f t="shared" si="16"/>
        <v>-</v>
      </c>
      <c r="N47" s="27" t="s">
        <v>19</v>
      </c>
      <c r="O47" s="39" t="str">
        <f t="shared" si="17"/>
        <v>-</v>
      </c>
      <c r="P47" s="27" t="s">
        <v>19</v>
      </c>
      <c r="Q47" s="39" t="str">
        <f t="shared" si="18"/>
        <v>-</v>
      </c>
      <c r="R47" s="27" t="s">
        <v>9</v>
      </c>
      <c r="S47" s="39" t="str">
        <f t="shared" si="19"/>
        <v>-</v>
      </c>
      <c r="T47" s="27" t="s">
        <v>9</v>
      </c>
      <c r="U47" s="39" t="str">
        <f t="shared" si="20"/>
        <v>-</v>
      </c>
    </row>
    <row r="48" spans="1:21" ht="18.75" customHeight="1">
      <c r="A48" s="46" t="s">
        <v>103</v>
      </c>
      <c r="B48" s="27" t="s">
        <v>19</v>
      </c>
      <c r="C48" s="39" t="str">
        <f t="shared" si="11"/>
        <v>-</v>
      </c>
      <c r="D48" s="27">
        <v>3</v>
      </c>
      <c r="E48" s="39">
        <f t="shared" si="12"/>
        <v>2.8918449971081547E-2</v>
      </c>
      <c r="F48" s="27" t="s">
        <v>19</v>
      </c>
      <c r="G48" s="39" t="str">
        <f t="shared" si="13"/>
        <v>-</v>
      </c>
      <c r="H48" s="27">
        <v>2</v>
      </c>
      <c r="I48" s="39">
        <f t="shared" si="14"/>
        <v>2.3342670401493931E-2</v>
      </c>
      <c r="J48" s="27">
        <v>1</v>
      </c>
      <c r="K48" s="39">
        <f t="shared" si="15"/>
        <v>1.2297097884899163E-2</v>
      </c>
      <c r="L48" s="27" t="s">
        <v>19</v>
      </c>
      <c r="M48" s="39" t="str">
        <f t="shared" si="16"/>
        <v>-</v>
      </c>
      <c r="N48" s="27" t="s">
        <v>19</v>
      </c>
      <c r="O48" s="39" t="str">
        <f t="shared" si="17"/>
        <v>-</v>
      </c>
      <c r="P48" s="27" t="s">
        <v>19</v>
      </c>
      <c r="Q48" s="39" t="str">
        <f t="shared" si="18"/>
        <v>-</v>
      </c>
      <c r="R48" s="27" t="s">
        <v>9</v>
      </c>
      <c r="S48" s="39" t="str">
        <f t="shared" si="19"/>
        <v>-</v>
      </c>
      <c r="T48" s="27" t="s">
        <v>9</v>
      </c>
      <c r="U48" s="39" t="str">
        <f t="shared" si="20"/>
        <v>-</v>
      </c>
    </row>
    <row r="49" spans="1:21" ht="18.75" customHeight="1">
      <c r="A49" s="46" t="s">
        <v>104</v>
      </c>
      <c r="B49" s="27" t="s">
        <v>19</v>
      </c>
      <c r="C49" s="39" t="str">
        <f t="shared" si="11"/>
        <v>-</v>
      </c>
      <c r="D49" s="27" t="s">
        <v>19</v>
      </c>
      <c r="E49" s="39" t="str">
        <f t="shared" si="12"/>
        <v>-</v>
      </c>
      <c r="F49" s="27" t="s">
        <v>19</v>
      </c>
      <c r="G49" s="39" t="str">
        <f t="shared" si="13"/>
        <v>-</v>
      </c>
      <c r="H49" s="27">
        <v>3</v>
      </c>
      <c r="I49" s="39">
        <f t="shared" si="14"/>
        <v>3.5014005602240897E-2</v>
      </c>
      <c r="J49" s="27" t="s">
        <v>19</v>
      </c>
      <c r="K49" s="39" t="str">
        <f t="shared" si="15"/>
        <v>-</v>
      </c>
      <c r="L49" s="27" t="s">
        <v>19</v>
      </c>
      <c r="M49" s="39" t="str">
        <f t="shared" si="16"/>
        <v>-</v>
      </c>
      <c r="N49" s="27" t="s">
        <v>19</v>
      </c>
      <c r="O49" s="39" t="str">
        <f t="shared" si="17"/>
        <v>-</v>
      </c>
      <c r="P49" s="27" t="s">
        <v>19</v>
      </c>
      <c r="Q49" s="39" t="str">
        <f t="shared" si="18"/>
        <v>-</v>
      </c>
      <c r="R49" s="27" t="s">
        <v>9</v>
      </c>
      <c r="S49" s="39" t="str">
        <f t="shared" si="19"/>
        <v>-</v>
      </c>
      <c r="T49" s="27" t="s">
        <v>9</v>
      </c>
      <c r="U49" s="39" t="str">
        <f t="shared" si="20"/>
        <v>-</v>
      </c>
    </row>
    <row r="50" spans="1:21" ht="20.100000000000001" customHeight="1">
      <c r="A50" s="201" t="s">
        <v>442</v>
      </c>
      <c r="B50" s="27" t="s">
        <v>19</v>
      </c>
      <c r="C50" s="39" t="str">
        <f t="shared" si="11"/>
        <v>-</v>
      </c>
      <c r="D50" s="27" t="s">
        <v>19</v>
      </c>
      <c r="E50" s="39" t="str">
        <f t="shared" si="12"/>
        <v>-</v>
      </c>
      <c r="F50" s="27" t="s">
        <v>19</v>
      </c>
      <c r="G50" s="39" t="str">
        <f t="shared" si="13"/>
        <v>-</v>
      </c>
      <c r="H50" s="27" t="s">
        <v>19</v>
      </c>
      <c r="I50" s="39" t="str">
        <f t="shared" si="14"/>
        <v>-</v>
      </c>
      <c r="J50" s="27" t="s">
        <v>19</v>
      </c>
      <c r="K50" s="39" t="str">
        <f t="shared" si="15"/>
        <v>-</v>
      </c>
      <c r="L50" s="27" t="s">
        <v>19</v>
      </c>
      <c r="M50" s="39" t="str">
        <f t="shared" si="16"/>
        <v>-</v>
      </c>
      <c r="N50" s="27" t="s">
        <v>19</v>
      </c>
      <c r="O50" s="39" t="str">
        <f t="shared" si="17"/>
        <v>-</v>
      </c>
      <c r="P50" s="27" t="s">
        <v>19</v>
      </c>
      <c r="Q50" s="39" t="str">
        <f t="shared" si="18"/>
        <v>-</v>
      </c>
      <c r="R50" s="33">
        <v>1</v>
      </c>
      <c r="S50" s="39">
        <f t="shared" si="19"/>
        <v>1.1409013120365089E-2</v>
      </c>
      <c r="T50" s="27" t="s">
        <v>9</v>
      </c>
      <c r="U50" s="39" t="str">
        <f t="shared" si="20"/>
        <v>-</v>
      </c>
    </row>
    <row r="51" spans="1:21" ht="18.75" customHeight="1">
      <c r="A51" s="46" t="s">
        <v>105</v>
      </c>
      <c r="B51" s="27" t="s">
        <v>19</v>
      </c>
      <c r="C51" s="39" t="str">
        <f t="shared" si="11"/>
        <v>-</v>
      </c>
      <c r="D51" s="27" t="s">
        <v>19</v>
      </c>
      <c r="E51" s="39" t="str">
        <f t="shared" si="12"/>
        <v>-</v>
      </c>
      <c r="F51" s="27" t="s">
        <v>19</v>
      </c>
      <c r="G51" s="39" t="str">
        <f t="shared" si="13"/>
        <v>-</v>
      </c>
      <c r="H51" s="27" t="s">
        <v>19</v>
      </c>
      <c r="I51" s="39" t="str">
        <f t="shared" si="14"/>
        <v>-</v>
      </c>
      <c r="J51" s="27" t="s">
        <v>19</v>
      </c>
      <c r="K51" s="39" t="str">
        <f t="shared" si="15"/>
        <v>-</v>
      </c>
      <c r="L51" s="27" t="s">
        <v>19</v>
      </c>
      <c r="M51" s="39" t="str">
        <f t="shared" si="16"/>
        <v>-</v>
      </c>
      <c r="N51" s="27" t="s">
        <v>19</v>
      </c>
      <c r="O51" s="39" t="str">
        <f t="shared" si="17"/>
        <v>-</v>
      </c>
      <c r="P51" s="27" t="s">
        <v>19</v>
      </c>
      <c r="Q51" s="39" t="str">
        <f t="shared" si="18"/>
        <v>-</v>
      </c>
      <c r="R51" s="27" t="s">
        <v>9</v>
      </c>
      <c r="S51" s="39" t="str">
        <f t="shared" si="19"/>
        <v>-</v>
      </c>
      <c r="T51" s="27" t="s">
        <v>9</v>
      </c>
      <c r="U51" s="39" t="str">
        <f t="shared" si="20"/>
        <v>-</v>
      </c>
    </row>
    <row r="52" spans="1:21" ht="18.75" customHeight="1">
      <c r="A52" s="46" t="s">
        <v>79</v>
      </c>
      <c r="B52" s="27">
        <v>16</v>
      </c>
      <c r="C52" s="39">
        <f t="shared" si="11"/>
        <v>0.14056048493367301</v>
      </c>
      <c r="D52" s="27">
        <v>28</v>
      </c>
      <c r="E52" s="39">
        <f t="shared" si="12"/>
        <v>0.26990553306342779</v>
      </c>
      <c r="F52" s="27">
        <v>29</v>
      </c>
      <c r="G52" s="39">
        <f t="shared" si="13"/>
        <v>0.30986216476119244</v>
      </c>
      <c r="H52" s="27">
        <f>31+1</f>
        <v>32</v>
      </c>
      <c r="I52" s="39">
        <f t="shared" si="14"/>
        <v>0.3734827264239029</v>
      </c>
      <c r="J52" s="27">
        <v>28</v>
      </c>
      <c r="K52" s="39">
        <f t="shared" si="15"/>
        <v>0.34431874077717661</v>
      </c>
      <c r="L52" s="27">
        <v>32</v>
      </c>
      <c r="M52" s="39">
        <f t="shared" si="16"/>
        <v>0.37878787878787878</v>
      </c>
      <c r="N52" s="27">
        <f>34+0</f>
        <v>34</v>
      </c>
      <c r="O52" s="39">
        <f t="shared" si="17"/>
        <v>0.42799597180261834</v>
      </c>
      <c r="P52" s="27">
        <f>37+1</f>
        <v>38</v>
      </c>
      <c r="Q52" s="39">
        <f t="shared" si="18"/>
        <v>0.48537488823604547</v>
      </c>
      <c r="R52" s="27">
        <f>30+1</f>
        <v>31</v>
      </c>
      <c r="S52" s="39">
        <f t="shared" si="19"/>
        <v>0.35367940673131776</v>
      </c>
      <c r="T52" s="27">
        <v>12</v>
      </c>
      <c r="U52" s="39">
        <f t="shared" si="20"/>
        <v>0.14776505356483191</v>
      </c>
    </row>
    <row r="53" spans="1:21" ht="18.75" customHeight="1">
      <c r="A53" s="46" t="s">
        <v>82</v>
      </c>
      <c r="B53" s="27" t="s">
        <v>19</v>
      </c>
      <c r="C53" s="39" t="str">
        <f t="shared" si="11"/>
        <v>-</v>
      </c>
      <c r="D53" s="27" t="s">
        <v>19</v>
      </c>
      <c r="E53" s="39" t="str">
        <f t="shared" si="12"/>
        <v>-</v>
      </c>
      <c r="F53" s="27" t="s">
        <v>19</v>
      </c>
      <c r="G53" s="39" t="str">
        <f t="shared" si="13"/>
        <v>-</v>
      </c>
      <c r="H53" s="27" t="s">
        <v>19</v>
      </c>
      <c r="I53" s="39" t="str">
        <f t="shared" si="14"/>
        <v>-</v>
      </c>
      <c r="J53" s="27" t="s">
        <v>19</v>
      </c>
      <c r="K53" s="39" t="str">
        <f t="shared" si="15"/>
        <v>-</v>
      </c>
      <c r="L53" s="27" t="s">
        <v>19</v>
      </c>
      <c r="M53" s="39" t="str">
        <f t="shared" si="16"/>
        <v>-</v>
      </c>
      <c r="N53" s="27">
        <f>6+2</f>
        <v>8</v>
      </c>
      <c r="O53" s="39">
        <f t="shared" si="17"/>
        <v>0.10070493454179255</v>
      </c>
      <c r="P53" s="27">
        <f>11+3</f>
        <v>14</v>
      </c>
      <c r="Q53" s="39">
        <f t="shared" si="18"/>
        <v>0.17882232724485886</v>
      </c>
      <c r="R53" s="27">
        <f>15+3</f>
        <v>18</v>
      </c>
      <c r="S53" s="39">
        <f t="shared" si="19"/>
        <v>0.20536223616657157</v>
      </c>
      <c r="T53" s="27">
        <v>35</v>
      </c>
      <c r="U53" s="39">
        <f t="shared" si="20"/>
        <v>0.43098140623075976</v>
      </c>
    </row>
    <row r="54" spans="1:21" ht="18.75" customHeight="1">
      <c r="A54" s="46" t="s">
        <v>92</v>
      </c>
      <c r="B54" s="27" t="s">
        <v>19</v>
      </c>
      <c r="C54" s="39" t="str">
        <f t="shared" si="11"/>
        <v>-</v>
      </c>
      <c r="D54" s="27" t="s">
        <v>19</v>
      </c>
      <c r="E54" s="39" t="str">
        <f t="shared" si="12"/>
        <v>-</v>
      </c>
      <c r="F54" s="27" t="s">
        <v>19</v>
      </c>
      <c r="G54" s="39" t="str">
        <f t="shared" si="13"/>
        <v>-</v>
      </c>
      <c r="H54" s="27">
        <v>1</v>
      </c>
      <c r="I54" s="39">
        <f t="shared" si="14"/>
        <v>1.1671335200746966E-2</v>
      </c>
      <c r="J54" s="27">
        <v>2</v>
      </c>
      <c r="K54" s="39">
        <f t="shared" si="15"/>
        <v>2.4594195769798325E-2</v>
      </c>
      <c r="L54" s="27">
        <v>2</v>
      </c>
      <c r="M54" s="39">
        <f t="shared" si="16"/>
        <v>2.3674242424242424E-2</v>
      </c>
      <c r="N54" s="27" t="s">
        <v>19</v>
      </c>
      <c r="O54" s="39" t="str">
        <f t="shared" si="17"/>
        <v>-</v>
      </c>
      <c r="P54" s="27" t="s">
        <v>19</v>
      </c>
      <c r="Q54" s="39" t="str">
        <f t="shared" si="18"/>
        <v>-</v>
      </c>
      <c r="R54" s="27">
        <f>4+0</f>
        <v>4</v>
      </c>
      <c r="S54" s="39">
        <f t="shared" si="19"/>
        <v>4.5636052481460354E-2</v>
      </c>
      <c r="T54" s="27" t="s">
        <v>9</v>
      </c>
      <c r="U54" s="39" t="str">
        <f t="shared" si="20"/>
        <v>-</v>
      </c>
    </row>
    <row r="55" spans="1:21" ht="18.75" customHeight="1">
      <c r="A55" s="46" t="s">
        <v>89</v>
      </c>
      <c r="B55" s="27">
        <v>6</v>
      </c>
      <c r="C55" s="39">
        <f t="shared" si="11"/>
        <v>5.271018185012738E-2</v>
      </c>
      <c r="D55" s="27">
        <f>5+1</f>
        <v>6</v>
      </c>
      <c r="E55" s="39">
        <f t="shared" si="12"/>
        <v>5.7836899942163095E-2</v>
      </c>
      <c r="F55" s="27">
        <f>3+2</f>
        <v>5</v>
      </c>
      <c r="G55" s="39">
        <f t="shared" si="13"/>
        <v>5.3424511165722832E-2</v>
      </c>
      <c r="H55" s="27">
        <f>8+1</f>
        <v>9</v>
      </c>
      <c r="I55" s="39">
        <f t="shared" si="14"/>
        <v>0.10504201680672269</v>
      </c>
      <c r="J55" s="27">
        <f>5+1</f>
        <v>6</v>
      </c>
      <c r="K55" s="39">
        <f t="shared" si="15"/>
        <v>7.3782587309394979E-2</v>
      </c>
      <c r="L55" s="27">
        <f>16+1</f>
        <v>17</v>
      </c>
      <c r="M55" s="39">
        <f t="shared" si="16"/>
        <v>0.20123106060606061</v>
      </c>
      <c r="N55" s="27">
        <f>12+4</f>
        <v>16</v>
      </c>
      <c r="O55" s="39">
        <f t="shared" si="17"/>
        <v>0.2014098690835851</v>
      </c>
      <c r="P55" s="27">
        <f>6+0</f>
        <v>6</v>
      </c>
      <c r="Q55" s="39">
        <f t="shared" si="18"/>
        <v>7.6638140247796652E-2</v>
      </c>
      <c r="R55" s="27">
        <f>8+1</f>
        <v>9</v>
      </c>
      <c r="S55" s="39">
        <f t="shared" si="19"/>
        <v>0.10268111808328578</v>
      </c>
      <c r="T55" s="27">
        <v>11</v>
      </c>
      <c r="U55" s="39">
        <f t="shared" si="20"/>
        <v>0.13545129910109593</v>
      </c>
    </row>
    <row r="56" spans="1:21" ht="18.75" customHeight="1">
      <c r="A56" s="46" t="s">
        <v>95</v>
      </c>
      <c r="B56" s="27">
        <f>1+1</f>
        <v>2</v>
      </c>
      <c r="C56" s="39">
        <f t="shared" si="11"/>
        <v>1.7570060616709127E-2</v>
      </c>
      <c r="D56" s="27">
        <v>2</v>
      </c>
      <c r="E56" s="39">
        <f t="shared" si="12"/>
        <v>1.9278966647387701E-2</v>
      </c>
      <c r="F56" s="27">
        <f>5+1</f>
        <v>6</v>
      </c>
      <c r="G56" s="39">
        <f t="shared" si="13"/>
        <v>6.4109413398867401E-2</v>
      </c>
      <c r="H56" s="27">
        <v>4</v>
      </c>
      <c r="I56" s="39">
        <f t="shared" si="14"/>
        <v>4.6685340802987862E-2</v>
      </c>
      <c r="J56" s="27">
        <f>4+1</f>
        <v>5</v>
      </c>
      <c r="K56" s="39">
        <f t="shared" si="15"/>
        <v>6.1485489424495818E-2</v>
      </c>
      <c r="L56" s="27">
        <v>5</v>
      </c>
      <c r="M56" s="39">
        <f t="shared" si="16"/>
        <v>5.9185606060606064E-2</v>
      </c>
      <c r="N56" s="27" t="s">
        <v>19</v>
      </c>
      <c r="O56" s="39" t="str">
        <f t="shared" si="17"/>
        <v>-</v>
      </c>
      <c r="P56" s="27">
        <f>1+1</f>
        <v>2</v>
      </c>
      <c r="Q56" s="39">
        <f t="shared" si="18"/>
        <v>2.5546046749265552E-2</v>
      </c>
      <c r="R56" s="27">
        <f>1+2</f>
        <v>3</v>
      </c>
      <c r="S56" s="39">
        <f t="shared" si="19"/>
        <v>3.4227039361095266E-2</v>
      </c>
      <c r="T56" s="27" t="s">
        <v>9</v>
      </c>
      <c r="U56" s="39" t="str">
        <f t="shared" si="20"/>
        <v>-</v>
      </c>
    </row>
    <row r="57" spans="1:21" ht="18.75" customHeight="1">
      <c r="A57" s="46" t="s">
        <v>100</v>
      </c>
      <c r="B57" s="27" t="s">
        <v>19</v>
      </c>
      <c r="C57" s="39" t="str">
        <f t="shared" si="11"/>
        <v>-</v>
      </c>
      <c r="D57" s="27" t="s">
        <v>19</v>
      </c>
      <c r="E57" s="39" t="str">
        <f t="shared" si="12"/>
        <v>-</v>
      </c>
      <c r="F57" s="27" t="s">
        <v>19</v>
      </c>
      <c r="G57" s="39" t="str">
        <f t="shared" si="13"/>
        <v>-</v>
      </c>
      <c r="H57" s="27">
        <v>4</v>
      </c>
      <c r="I57" s="39">
        <f t="shared" si="14"/>
        <v>4.6685340802987862E-2</v>
      </c>
      <c r="J57" s="27" t="s">
        <v>19</v>
      </c>
      <c r="K57" s="39" t="str">
        <f t="shared" si="15"/>
        <v>-</v>
      </c>
      <c r="L57" s="27" t="s">
        <v>19</v>
      </c>
      <c r="M57" s="39" t="str">
        <f t="shared" si="16"/>
        <v>-</v>
      </c>
      <c r="N57" s="27">
        <v>2</v>
      </c>
      <c r="O57" s="39">
        <f t="shared" si="17"/>
        <v>2.5176233635448138E-2</v>
      </c>
      <c r="P57" s="27" t="s">
        <v>19</v>
      </c>
      <c r="Q57" s="39" t="str">
        <f t="shared" si="18"/>
        <v>-</v>
      </c>
      <c r="R57" s="27">
        <f>1+0</f>
        <v>1</v>
      </c>
      <c r="S57" s="39">
        <f t="shared" si="19"/>
        <v>1.1409013120365089E-2</v>
      </c>
      <c r="T57" s="27">
        <v>1</v>
      </c>
      <c r="U57" s="39">
        <f t="shared" si="20"/>
        <v>1.2313754463735992E-2</v>
      </c>
    </row>
    <row r="58" spans="1:21" ht="18.75" customHeight="1">
      <c r="A58" s="46" t="s">
        <v>80</v>
      </c>
      <c r="B58" s="27">
        <v>41</v>
      </c>
      <c r="C58" s="39">
        <f t="shared" si="11"/>
        <v>0.36018624264253712</v>
      </c>
      <c r="D58" s="27">
        <f>41+3</f>
        <v>44</v>
      </c>
      <c r="E58" s="39">
        <f t="shared" si="12"/>
        <v>0.42413726624252934</v>
      </c>
      <c r="F58" s="27">
        <f>26+3</f>
        <v>29</v>
      </c>
      <c r="G58" s="39">
        <f t="shared" si="13"/>
        <v>0.30986216476119244</v>
      </c>
      <c r="H58" s="27">
        <f>18+1</f>
        <v>19</v>
      </c>
      <c r="I58" s="39">
        <f t="shared" si="14"/>
        <v>0.22175536881419233</v>
      </c>
      <c r="J58" s="27">
        <v>24</v>
      </c>
      <c r="K58" s="39">
        <f t="shared" si="15"/>
        <v>0.29513034923757991</v>
      </c>
      <c r="L58" s="27">
        <v>12</v>
      </c>
      <c r="M58" s="39">
        <f t="shared" si="16"/>
        <v>0.14204545454545456</v>
      </c>
      <c r="N58" s="27">
        <f>28+2</f>
        <v>30</v>
      </c>
      <c r="O58" s="39">
        <f t="shared" si="17"/>
        <v>0.37764350453172207</v>
      </c>
      <c r="P58" s="27">
        <f>15+1</f>
        <v>16</v>
      </c>
      <c r="Q58" s="39">
        <f t="shared" si="18"/>
        <v>0.20436837399412441</v>
      </c>
      <c r="R58" s="27">
        <f>25+3</f>
        <v>28</v>
      </c>
      <c r="S58" s="39">
        <f t="shared" si="19"/>
        <v>0.31945236737022248</v>
      </c>
      <c r="T58" s="27">
        <v>27</v>
      </c>
      <c r="U58" s="39">
        <f t="shared" si="20"/>
        <v>0.33247137052087183</v>
      </c>
    </row>
    <row r="59" spans="1:21" ht="18.75" customHeight="1">
      <c r="A59" s="46" t="s">
        <v>110</v>
      </c>
      <c r="B59" s="27">
        <v>4</v>
      </c>
      <c r="C59" s="39">
        <f t="shared" si="11"/>
        <v>3.5140121233418253E-2</v>
      </c>
      <c r="D59" s="27" t="s">
        <v>19</v>
      </c>
      <c r="E59" s="39" t="str">
        <f t="shared" si="12"/>
        <v>-</v>
      </c>
      <c r="F59" s="27" t="s">
        <v>19</v>
      </c>
      <c r="G59" s="39" t="str">
        <f t="shared" si="13"/>
        <v>-</v>
      </c>
      <c r="H59" s="27" t="s">
        <v>19</v>
      </c>
      <c r="I59" s="39" t="str">
        <f t="shared" si="14"/>
        <v>-</v>
      </c>
      <c r="J59" s="27" t="s">
        <v>19</v>
      </c>
      <c r="K59" s="39" t="str">
        <f t="shared" si="15"/>
        <v>-</v>
      </c>
      <c r="L59" s="27" t="s">
        <v>19</v>
      </c>
      <c r="M59" s="39" t="str">
        <f t="shared" si="16"/>
        <v>-</v>
      </c>
      <c r="N59" s="27" t="s">
        <v>19</v>
      </c>
      <c r="O59" s="39" t="str">
        <f t="shared" si="17"/>
        <v>-</v>
      </c>
      <c r="P59" s="27" t="s">
        <v>19</v>
      </c>
      <c r="Q59" s="39" t="str">
        <f t="shared" si="18"/>
        <v>-</v>
      </c>
      <c r="R59" s="27" t="s">
        <v>9</v>
      </c>
      <c r="S59" s="39" t="str">
        <f t="shared" si="19"/>
        <v>-</v>
      </c>
      <c r="T59" s="27" t="s">
        <v>9</v>
      </c>
      <c r="U59" s="39" t="str">
        <f t="shared" si="20"/>
        <v>-</v>
      </c>
    </row>
    <row r="60" spans="1:21" ht="18.75" customHeight="1">
      <c r="A60" s="46" t="s">
        <v>111</v>
      </c>
      <c r="B60" s="27" t="s">
        <v>19</v>
      </c>
      <c r="C60" s="39" t="str">
        <f t="shared" si="11"/>
        <v>-</v>
      </c>
      <c r="D60" s="27" t="s">
        <v>19</v>
      </c>
      <c r="E60" s="39" t="str">
        <f t="shared" si="12"/>
        <v>-</v>
      </c>
      <c r="F60" s="27" t="s">
        <v>19</v>
      </c>
      <c r="G60" s="39" t="str">
        <f t="shared" si="13"/>
        <v>-</v>
      </c>
      <c r="H60" s="27" t="s">
        <v>19</v>
      </c>
      <c r="I60" s="39" t="str">
        <f t="shared" si="14"/>
        <v>-</v>
      </c>
      <c r="J60" s="27" t="s">
        <v>19</v>
      </c>
      <c r="K60" s="39" t="str">
        <f t="shared" si="15"/>
        <v>-</v>
      </c>
      <c r="L60" s="27" t="s">
        <v>19</v>
      </c>
      <c r="M60" s="39" t="str">
        <f t="shared" si="16"/>
        <v>-</v>
      </c>
      <c r="N60" s="27" t="s">
        <v>19</v>
      </c>
      <c r="O60" s="39" t="str">
        <f t="shared" si="17"/>
        <v>-</v>
      </c>
      <c r="P60" s="27" t="s">
        <v>19</v>
      </c>
      <c r="Q60" s="39" t="str">
        <f t="shared" si="18"/>
        <v>-</v>
      </c>
      <c r="R60" s="27" t="s">
        <v>9</v>
      </c>
      <c r="S60" s="39" t="str">
        <f t="shared" si="19"/>
        <v>-</v>
      </c>
      <c r="T60" s="27" t="s">
        <v>9</v>
      </c>
      <c r="U60" s="39" t="str">
        <f t="shared" si="20"/>
        <v>-</v>
      </c>
    </row>
    <row r="61" spans="1:21" ht="18.75" customHeight="1">
      <c r="A61" s="46" t="s">
        <v>112</v>
      </c>
      <c r="B61" s="27" t="s">
        <v>19</v>
      </c>
      <c r="C61" s="39" t="str">
        <f t="shared" si="11"/>
        <v>-</v>
      </c>
      <c r="D61" s="27" t="s">
        <v>19</v>
      </c>
      <c r="E61" s="39" t="str">
        <f t="shared" si="12"/>
        <v>-</v>
      </c>
      <c r="F61" s="27" t="s">
        <v>19</v>
      </c>
      <c r="G61" s="39" t="str">
        <f t="shared" si="13"/>
        <v>-</v>
      </c>
      <c r="H61" s="27" t="s">
        <v>19</v>
      </c>
      <c r="I61" s="39" t="str">
        <f t="shared" si="14"/>
        <v>-</v>
      </c>
      <c r="J61" s="27" t="s">
        <v>19</v>
      </c>
      <c r="K61" s="39" t="str">
        <f t="shared" si="15"/>
        <v>-</v>
      </c>
      <c r="L61" s="27" t="s">
        <v>19</v>
      </c>
      <c r="M61" s="39" t="str">
        <f t="shared" si="16"/>
        <v>-</v>
      </c>
      <c r="N61" s="27" t="s">
        <v>19</v>
      </c>
      <c r="O61" s="39" t="str">
        <f t="shared" si="17"/>
        <v>-</v>
      </c>
      <c r="P61" s="27" t="s">
        <v>19</v>
      </c>
      <c r="Q61" s="39" t="str">
        <f t="shared" si="18"/>
        <v>-</v>
      </c>
      <c r="R61" s="27" t="s">
        <v>9</v>
      </c>
      <c r="S61" s="39" t="str">
        <f t="shared" si="19"/>
        <v>-</v>
      </c>
      <c r="T61" s="27" t="s">
        <v>9</v>
      </c>
      <c r="U61" s="39" t="str">
        <f t="shared" si="20"/>
        <v>-</v>
      </c>
    </row>
    <row r="62" spans="1:21" ht="18.75" customHeight="1">
      <c r="A62" s="201" t="s">
        <v>440</v>
      </c>
      <c r="B62" s="27" t="s">
        <v>19</v>
      </c>
      <c r="C62" s="39" t="str">
        <f t="shared" si="11"/>
        <v>-</v>
      </c>
      <c r="D62" s="27" t="s">
        <v>19</v>
      </c>
      <c r="E62" s="39" t="str">
        <f t="shared" si="12"/>
        <v>-</v>
      </c>
      <c r="F62" s="27" t="s">
        <v>19</v>
      </c>
      <c r="G62" s="39" t="str">
        <f t="shared" si="13"/>
        <v>-</v>
      </c>
      <c r="H62" s="27" t="s">
        <v>19</v>
      </c>
      <c r="I62" s="39" t="str">
        <f t="shared" si="14"/>
        <v>-</v>
      </c>
      <c r="J62" s="27" t="s">
        <v>19</v>
      </c>
      <c r="K62" s="39" t="str">
        <f t="shared" si="15"/>
        <v>-</v>
      </c>
      <c r="L62" s="27" t="s">
        <v>19</v>
      </c>
      <c r="M62" s="39" t="str">
        <f t="shared" si="16"/>
        <v>-</v>
      </c>
      <c r="N62" s="27" t="s">
        <v>19</v>
      </c>
      <c r="O62" s="39" t="str">
        <f t="shared" si="17"/>
        <v>-</v>
      </c>
      <c r="P62" s="27" t="s">
        <v>19</v>
      </c>
      <c r="Q62" s="39" t="str">
        <f t="shared" si="18"/>
        <v>-</v>
      </c>
      <c r="R62" s="27">
        <v>2</v>
      </c>
      <c r="S62" s="39">
        <f t="shared" si="19"/>
        <v>2.2818026240730177E-2</v>
      </c>
      <c r="T62" s="27" t="s">
        <v>9</v>
      </c>
      <c r="U62" s="39" t="str">
        <f t="shared" si="20"/>
        <v>-</v>
      </c>
    </row>
    <row r="63" spans="1:21" ht="18.75" customHeight="1">
      <c r="A63" s="46" t="s">
        <v>115</v>
      </c>
      <c r="B63" s="27">
        <v>1</v>
      </c>
      <c r="C63" s="39">
        <f t="shared" si="11"/>
        <v>8.7850303083545633E-3</v>
      </c>
      <c r="D63" s="27" t="s">
        <v>19</v>
      </c>
      <c r="E63" s="39" t="str">
        <f t="shared" si="12"/>
        <v>-</v>
      </c>
      <c r="F63" s="27" t="s">
        <v>19</v>
      </c>
      <c r="G63" s="39" t="str">
        <f t="shared" si="13"/>
        <v>-</v>
      </c>
      <c r="H63" s="27" t="s">
        <v>19</v>
      </c>
      <c r="I63" s="39" t="str">
        <f t="shared" si="14"/>
        <v>-</v>
      </c>
      <c r="J63" s="27" t="s">
        <v>19</v>
      </c>
      <c r="K63" s="39" t="str">
        <f t="shared" si="15"/>
        <v>-</v>
      </c>
      <c r="L63" s="27" t="s">
        <v>19</v>
      </c>
      <c r="M63" s="39" t="str">
        <f t="shared" si="16"/>
        <v>-</v>
      </c>
      <c r="N63" s="27">
        <f>1</f>
        <v>1</v>
      </c>
      <c r="O63" s="39">
        <f t="shared" si="17"/>
        <v>1.2588116817724069E-2</v>
      </c>
      <c r="P63" s="27" t="s">
        <v>19</v>
      </c>
      <c r="Q63" s="39" t="str">
        <f t="shared" si="18"/>
        <v>-</v>
      </c>
      <c r="R63" s="27" t="s">
        <v>9</v>
      </c>
      <c r="S63" s="39" t="str">
        <f t="shared" si="19"/>
        <v>-</v>
      </c>
      <c r="T63" s="27" t="s">
        <v>9</v>
      </c>
      <c r="U63" s="39" t="str">
        <f t="shared" si="20"/>
        <v>-</v>
      </c>
    </row>
    <row r="64" spans="1:21" ht="18.75" customHeight="1">
      <c r="A64" s="46" t="s">
        <v>98</v>
      </c>
      <c r="B64" s="27">
        <f>6+3</f>
        <v>9</v>
      </c>
      <c r="C64" s="39">
        <f t="shared" si="11"/>
        <v>7.9065272775191084E-2</v>
      </c>
      <c r="D64" s="27">
        <f>1+1</f>
        <v>2</v>
      </c>
      <c r="E64" s="39">
        <f t="shared" si="12"/>
        <v>1.9278966647387701E-2</v>
      </c>
      <c r="F64" s="27">
        <f>1+2</f>
        <v>3</v>
      </c>
      <c r="G64" s="39">
        <f t="shared" si="13"/>
        <v>3.2054706699433701E-2</v>
      </c>
      <c r="H64" s="27">
        <v>1</v>
      </c>
      <c r="I64" s="39">
        <f t="shared" si="14"/>
        <v>1.1671335200746966E-2</v>
      </c>
      <c r="J64" s="27">
        <v>1</v>
      </c>
      <c r="K64" s="39">
        <f t="shared" si="15"/>
        <v>1.2297097884899163E-2</v>
      </c>
      <c r="L64" s="27" t="s">
        <v>19</v>
      </c>
      <c r="M64" s="39" t="str">
        <f t="shared" si="16"/>
        <v>-</v>
      </c>
      <c r="N64" s="27">
        <f>1+1</f>
        <v>2</v>
      </c>
      <c r="O64" s="39">
        <f t="shared" si="17"/>
        <v>2.5176233635448138E-2</v>
      </c>
      <c r="P64" s="27">
        <f>0+1</f>
        <v>1</v>
      </c>
      <c r="Q64" s="39">
        <f t="shared" si="18"/>
        <v>1.2773023374632776E-2</v>
      </c>
      <c r="R64" s="27">
        <f>1+0</f>
        <v>1</v>
      </c>
      <c r="S64" s="39">
        <f t="shared" si="19"/>
        <v>1.1409013120365089E-2</v>
      </c>
      <c r="T64" s="27" t="s">
        <v>9</v>
      </c>
      <c r="U64" s="39" t="str">
        <f t="shared" si="20"/>
        <v>-</v>
      </c>
    </row>
    <row r="65" spans="1:21" ht="18.75" customHeight="1">
      <c r="A65" s="46" t="s">
        <v>113</v>
      </c>
      <c r="B65" s="27" t="s">
        <v>19</v>
      </c>
      <c r="C65" s="39" t="str">
        <f t="shared" si="11"/>
        <v>-</v>
      </c>
      <c r="D65" s="27" t="s">
        <v>19</v>
      </c>
      <c r="E65" s="39" t="str">
        <f t="shared" si="12"/>
        <v>-</v>
      </c>
      <c r="F65" s="27" t="s">
        <v>19</v>
      </c>
      <c r="G65" s="39" t="str">
        <f t="shared" si="13"/>
        <v>-</v>
      </c>
      <c r="H65" s="27" t="s">
        <v>19</v>
      </c>
      <c r="I65" s="39" t="str">
        <f t="shared" si="14"/>
        <v>-</v>
      </c>
      <c r="J65" s="27" t="s">
        <v>19</v>
      </c>
      <c r="K65" s="39" t="str">
        <f t="shared" si="15"/>
        <v>-</v>
      </c>
      <c r="L65" s="27">
        <v>1</v>
      </c>
      <c r="M65" s="39">
        <f t="shared" si="16"/>
        <v>1.1837121212121212E-2</v>
      </c>
      <c r="N65" s="27" t="s">
        <v>19</v>
      </c>
      <c r="O65" s="39" t="str">
        <f t="shared" si="17"/>
        <v>-</v>
      </c>
      <c r="P65" s="27" t="s">
        <v>19</v>
      </c>
      <c r="Q65" s="39" t="str">
        <f t="shared" si="18"/>
        <v>-</v>
      </c>
      <c r="R65" s="27" t="s">
        <v>9</v>
      </c>
      <c r="S65" s="39" t="str">
        <f t="shared" si="19"/>
        <v>-</v>
      </c>
      <c r="T65" s="27" t="s">
        <v>9</v>
      </c>
      <c r="U65" s="39" t="str">
        <f t="shared" si="20"/>
        <v>-</v>
      </c>
    </row>
    <row r="66" spans="1:21" ht="18.75" customHeight="1">
      <c r="A66" s="46" t="s">
        <v>116</v>
      </c>
      <c r="B66" s="27">
        <v>1</v>
      </c>
      <c r="C66" s="39">
        <f t="shared" si="11"/>
        <v>8.7850303083545633E-3</v>
      </c>
      <c r="D66" s="27">
        <v>3</v>
      </c>
      <c r="E66" s="39">
        <f t="shared" si="12"/>
        <v>2.8918449971081547E-2</v>
      </c>
      <c r="F66" s="27" t="s">
        <v>19</v>
      </c>
      <c r="G66" s="39" t="str">
        <f t="shared" si="13"/>
        <v>-</v>
      </c>
      <c r="H66" s="27">
        <v>6</v>
      </c>
      <c r="I66" s="39">
        <f t="shared" si="14"/>
        <v>7.0028011204481794E-2</v>
      </c>
      <c r="J66" s="27" t="s">
        <v>19</v>
      </c>
      <c r="K66" s="39" t="str">
        <f t="shared" si="15"/>
        <v>-</v>
      </c>
      <c r="L66" s="27" t="s">
        <v>19</v>
      </c>
      <c r="M66" s="39" t="str">
        <f t="shared" si="16"/>
        <v>-</v>
      </c>
      <c r="N66" s="27">
        <v>1</v>
      </c>
      <c r="O66" s="39">
        <f t="shared" si="17"/>
        <v>1.2588116817724069E-2</v>
      </c>
      <c r="P66" s="27" t="s">
        <v>19</v>
      </c>
      <c r="Q66" s="39" t="str">
        <f t="shared" si="18"/>
        <v>-</v>
      </c>
      <c r="R66" s="27" t="s">
        <v>9</v>
      </c>
      <c r="S66" s="39" t="str">
        <f t="shared" si="19"/>
        <v>-</v>
      </c>
      <c r="T66" s="27" t="s">
        <v>9</v>
      </c>
      <c r="U66" s="39" t="str">
        <f t="shared" si="20"/>
        <v>-</v>
      </c>
    </row>
    <row r="67" spans="1:21" ht="18.75" customHeight="1">
      <c r="A67" s="46" t="s">
        <v>114</v>
      </c>
      <c r="B67" s="27" t="s">
        <v>19</v>
      </c>
      <c r="C67" s="39" t="str">
        <f t="shared" si="11"/>
        <v>-</v>
      </c>
      <c r="D67" s="27" t="s">
        <v>19</v>
      </c>
      <c r="E67" s="39" t="str">
        <f t="shared" si="12"/>
        <v>-</v>
      </c>
      <c r="F67" s="27" t="s">
        <v>19</v>
      </c>
      <c r="G67" s="39" t="str">
        <f t="shared" si="13"/>
        <v>-</v>
      </c>
      <c r="H67" s="27" t="s">
        <v>19</v>
      </c>
      <c r="I67" s="39" t="str">
        <f t="shared" si="14"/>
        <v>-</v>
      </c>
      <c r="J67" s="27">
        <v>2</v>
      </c>
      <c r="K67" s="39">
        <f t="shared" si="15"/>
        <v>2.4594195769798325E-2</v>
      </c>
      <c r="L67" s="27" t="s">
        <v>19</v>
      </c>
      <c r="M67" s="39" t="str">
        <f t="shared" si="16"/>
        <v>-</v>
      </c>
      <c r="N67" s="27" t="s">
        <v>19</v>
      </c>
      <c r="O67" s="39" t="str">
        <f t="shared" si="17"/>
        <v>-</v>
      </c>
      <c r="P67" s="27" t="s">
        <v>19</v>
      </c>
      <c r="Q67" s="39" t="str">
        <f t="shared" si="18"/>
        <v>-</v>
      </c>
      <c r="R67" s="27" t="s">
        <v>9</v>
      </c>
      <c r="S67" s="39" t="str">
        <f t="shared" si="19"/>
        <v>-</v>
      </c>
      <c r="T67" s="27">
        <v>2</v>
      </c>
      <c r="U67" s="39">
        <f t="shared" si="20"/>
        <v>2.4627508927471984E-2</v>
      </c>
    </row>
    <row r="68" spans="1:21" ht="18.75" customHeight="1">
      <c r="A68" s="46" t="s">
        <v>117</v>
      </c>
      <c r="B68" s="27" t="s">
        <v>19</v>
      </c>
      <c r="C68" s="39" t="str">
        <f t="shared" si="11"/>
        <v>-</v>
      </c>
      <c r="D68" s="27" t="s">
        <v>19</v>
      </c>
      <c r="E68" s="39" t="str">
        <f t="shared" si="12"/>
        <v>-</v>
      </c>
      <c r="F68" s="27" t="s">
        <v>19</v>
      </c>
      <c r="G68" s="39" t="str">
        <f t="shared" si="13"/>
        <v>-</v>
      </c>
      <c r="H68" s="27">
        <v>1</v>
      </c>
      <c r="I68" s="39">
        <f t="shared" si="14"/>
        <v>1.1671335200746966E-2</v>
      </c>
      <c r="J68" s="27" t="s">
        <v>19</v>
      </c>
      <c r="K68" s="39" t="str">
        <f t="shared" si="15"/>
        <v>-</v>
      </c>
      <c r="L68" s="27" t="s">
        <v>19</v>
      </c>
      <c r="M68" s="39" t="str">
        <f t="shared" si="16"/>
        <v>-</v>
      </c>
      <c r="N68" s="27" t="s">
        <v>19</v>
      </c>
      <c r="O68" s="39" t="str">
        <f t="shared" si="17"/>
        <v>-</v>
      </c>
      <c r="P68" s="27" t="s">
        <v>19</v>
      </c>
      <c r="Q68" s="39" t="str">
        <f t="shared" si="18"/>
        <v>-</v>
      </c>
      <c r="R68" s="27" t="s">
        <v>9</v>
      </c>
      <c r="S68" s="39" t="str">
        <f t="shared" si="19"/>
        <v>-</v>
      </c>
      <c r="T68" s="27" t="s">
        <v>9</v>
      </c>
      <c r="U68" s="39" t="str">
        <f t="shared" si="20"/>
        <v>-</v>
      </c>
    </row>
    <row r="69" spans="1:21" ht="18.75" customHeight="1">
      <c r="A69" s="46" t="s">
        <v>101</v>
      </c>
      <c r="B69" s="27">
        <v>1</v>
      </c>
      <c r="C69" s="39">
        <f t="shared" ref="C69:C74" si="21">IFERROR(B69/B$4*100,"-")</f>
        <v>8.7850303083545633E-3</v>
      </c>
      <c r="D69" s="27" t="s">
        <v>19</v>
      </c>
      <c r="E69" s="39" t="str">
        <f t="shared" ref="E69:E74" si="22">IFERROR(D69/D$4*100,"-")</f>
        <v>-</v>
      </c>
      <c r="F69" s="27">
        <v>7</v>
      </c>
      <c r="G69" s="39">
        <f t="shared" ref="G69:G74" si="23">IFERROR(F69/F$4*100,"-")</f>
        <v>7.4794315632011971E-2</v>
      </c>
      <c r="H69" s="27">
        <f>1+1</f>
        <v>2</v>
      </c>
      <c r="I69" s="39">
        <f t="shared" ref="I69:I74" si="24">IFERROR(H69/H$4*100,"-")</f>
        <v>2.3342670401493931E-2</v>
      </c>
      <c r="J69" s="27" t="s">
        <v>19</v>
      </c>
      <c r="K69" s="39" t="str">
        <f t="shared" ref="K69:K74" si="25">IFERROR(J69/J$4*100,"-")</f>
        <v>-</v>
      </c>
      <c r="L69" s="27" t="s">
        <v>19</v>
      </c>
      <c r="M69" s="39" t="str">
        <f t="shared" ref="M69:M74" si="26">IFERROR(L69/L$4*100,"-")</f>
        <v>-</v>
      </c>
      <c r="N69" s="27" t="s">
        <v>19</v>
      </c>
      <c r="O69" s="39" t="str">
        <f t="shared" ref="O69:O74" si="27">IFERROR(N69/N$4*100,"-")</f>
        <v>-</v>
      </c>
      <c r="P69" s="27">
        <f>1+0</f>
        <v>1</v>
      </c>
      <c r="Q69" s="39">
        <f t="shared" ref="Q69:Q74" si="28">IFERROR(P69/P$4*100,"-")</f>
        <v>1.2773023374632776E-2</v>
      </c>
      <c r="R69" s="27" t="s">
        <v>9</v>
      </c>
      <c r="S69" s="39" t="str">
        <f t="shared" ref="S69:S74" si="29">IFERROR(R69/R$4*100,"-")</f>
        <v>-</v>
      </c>
      <c r="T69" s="27" t="s">
        <v>9</v>
      </c>
      <c r="U69" s="39" t="str">
        <f t="shared" ref="U69:U74" si="30">IFERROR(T69/T$4*100,"-")</f>
        <v>-</v>
      </c>
    </row>
    <row r="70" spans="1:21" ht="18.75" customHeight="1">
      <c r="A70" s="201" t="s">
        <v>578</v>
      </c>
      <c r="B70" s="27" t="s">
        <v>19</v>
      </c>
      <c r="C70" s="39" t="str">
        <f t="shared" si="21"/>
        <v>-</v>
      </c>
      <c r="D70" s="27" t="s">
        <v>19</v>
      </c>
      <c r="E70" s="39" t="str">
        <f t="shared" si="22"/>
        <v>-</v>
      </c>
      <c r="F70" s="27" t="s">
        <v>19</v>
      </c>
      <c r="G70" s="39" t="str">
        <f t="shared" si="23"/>
        <v>-</v>
      </c>
      <c r="H70" s="27">
        <v>1</v>
      </c>
      <c r="I70" s="39">
        <f t="shared" si="24"/>
        <v>1.1671335200746966E-2</v>
      </c>
      <c r="J70" s="27" t="s">
        <v>19</v>
      </c>
      <c r="K70" s="39" t="str">
        <f t="shared" si="25"/>
        <v>-</v>
      </c>
      <c r="L70" s="27">
        <v>1</v>
      </c>
      <c r="M70" s="39">
        <f t="shared" si="26"/>
        <v>1.1837121212121212E-2</v>
      </c>
      <c r="N70" s="27" t="s">
        <v>19</v>
      </c>
      <c r="O70" s="39" t="str">
        <f t="shared" si="27"/>
        <v>-</v>
      </c>
      <c r="P70" s="27" t="s">
        <v>19</v>
      </c>
      <c r="Q70" s="39" t="str">
        <f t="shared" si="28"/>
        <v>-</v>
      </c>
      <c r="R70" s="27" t="s">
        <v>9</v>
      </c>
      <c r="S70" s="39" t="str">
        <f t="shared" si="29"/>
        <v>-</v>
      </c>
      <c r="T70" s="27" t="s">
        <v>9</v>
      </c>
      <c r="U70" s="39" t="str">
        <f t="shared" si="30"/>
        <v>-</v>
      </c>
    </row>
    <row r="71" spans="1:21" ht="18.75" customHeight="1">
      <c r="A71" s="46" t="s">
        <v>102</v>
      </c>
      <c r="B71" s="27" t="s">
        <v>19</v>
      </c>
      <c r="C71" s="39" t="str">
        <f t="shared" si="21"/>
        <v>-</v>
      </c>
      <c r="D71" s="27" t="s">
        <v>19</v>
      </c>
      <c r="E71" s="39" t="str">
        <f t="shared" si="22"/>
        <v>-</v>
      </c>
      <c r="F71" s="27" t="s">
        <v>19</v>
      </c>
      <c r="G71" s="39" t="str">
        <f t="shared" si="23"/>
        <v>-</v>
      </c>
      <c r="H71" s="27" t="s">
        <v>19</v>
      </c>
      <c r="I71" s="39" t="str">
        <f t="shared" si="24"/>
        <v>-</v>
      </c>
      <c r="J71" s="27" t="s">
        <v>19</v>
      </c>
      <c r="K71" s="39" t="str">
        <f t="shared" si="25"/>
        <v>-</v>
      </c>
      <c r="L71" s="27">
        <v>1</v>
      </c>
      <c r="M71" s="39">
        <f t="shared" si="26"/>
        <v>1.1837121212121212E-2</v>
      </c>
      <c r="N71" s="27">
        <f>1+1</f>
        <v>2</v>
      </c>
      <c r="O71" s="39">
        <f t="shared" si="27"/>
        <v>2.5176233635448138E-2</v>
      </c>
      <c r="P71" s="27">
        <f>1+0</f>
        <v>1</v>
      </c>
      <c r="Q71" s="39">
        <f t="shared" si="28"/>
        <v>1.2773023374632776E-2</v>
      </c>
      <c r="R71" s="27" t="s">
        <v>9</v>
      </c>
      <c r="S71" s="39" t="str">
        <f t="shared" si="29"/>
        <v>-</v>
      </c>
      <c r="T71" s="27" t="s">
        <v>9</v>
      </c>
      <c r="U71" s="39" t="str">
        <f t="shared" si="30"/>
        <v>-</v>
      </c>
    </row>
    <row r="72" spans="1:21" ht="20.100000000000001" customHeight="1">
      <c r="A72" s="46" t="s">
        <v>119</v>
      </c>
      <c r="B72" s="27" t="s">
        <v>19</v>
      </c>
      <c r="C72" s="39" t="str">
        <f t="shared" si="21"/>
        <v>-</v>
      </c>
      <c r="D72" s="27" t="s">
        <v>19</v>
      </c>
      <c r="E72" s="39" t="str">
        <f t="shared" si="22"/>
        <v>-</v>
      </c>
      <c r="F72" s="27" t="s">
        <v>19</v>
      </c>
      <c r="G72" s="39" t="str">
        <f t="shared" si="23"/>
        <v>-</v>
      </c>
      <c r="H72" s="27" t="s">
        <v>19</v>
      </c>
      <c r="I72" s="39" t="str">
        <f t="shared" si="24"/>
        <v>-</v>
      </c>
      <c r="J72" s="27" t="s">
        <v>19</v>
      </c>
      <c r="K72" s="39" t="str">
        <f t="shared" si="25"/>
        <v>-</v>
      </c>
      <c r="L72" s="27" t="s">
        <v>19</v>
      </c>
      <c r="M72" s="39" t="str">
        <f t="shared" si="26"/>
        <v>-</v>
      </c>
      <c r="N72" s="27" t="s">
        <v>19</v>
      </c>
      <c r="O72" s="39" t="str">
        <f t="shared" si="27"/>
        <v>-</v>
      </c>
      <c r="P72" s="27" t="s">
        <v>19</v>
      </c>
      <c r="Q72" s="39" t="str">
        <f t="shared" si="28"/>
        <v>-</v>
      </c>
      <c r="R72" s="27" t="s">
        <v>9</v>
      </c>
      <c r="S72" s="39" t="str">
        <f t="shared" si="29"/>
        <v>-</v>
      </c>
      <c r="T72" s="27" t="s">
        <v>9</v>
      </c>
      <c r="U72" s="39" t="str">
        <f t="shared" si="30"/>
        <v>-</v>
      </c>
    </row>
    <row r="73" spans="1:21" ht="33">
      <c r="A73" s="201" t="s">
        <v>441</v>
      </c>
      <c r="B73" s="27" t="s">
        <v>19</v>
      </c>
      <c r="C73" s="39" t="str">
        <f t="shared" si="21"/>
        <v>-</v>
      </c>
      <c r="D73" s="27" t="s">
        <v>19</v>
      </c>
      <c r="E73" s="39" t="str">
        <f t="shared" si="22"/>
        <v>-</v>
      </c>
      <c r="F73" s="27" t="s">
        <v>19</v>
      </c>
      <c r="G73" s="39" t="str">
        <f t="shared" si="23"/>
        <v>-</v>
      </c>
      <c r="H73" s="27" t="s">
        <v>19</v>
      </c>
      <c r="I73" s="39" t="str">
        <f t="shared" si="24"/>
        <v>-</v>
      </c>
      <c r="J73" s="27" t="s">
        <v>19</v>
      </c>
      <c r="K73" s="39" t="str">
        <f t="shared" si="25"/>
        <v>-</v>
      </c>
      <c r="L73" s="27" t="s">
        <v>19</v>
      </c>
      <c r="M73" s="39" t="str">
        <f t="shared" si="26"/>
        <v>-</v>
      </c>
      <c r="N73" s="27" t="s">
        <v>19</v>
      </c>
      <c r="O73" s="39" t="str">
        <f t="shared" si="27"/>
        <v>-</v>
      </c>
      <c r="P73" s="27" t="s">
        <v>19</v>
      </c>
      <c r="Q73" s="39" t="str">
        <f t="shared" si="28"/>
        <v>-</v>
      </c>
      <c r="R73" s="27">
        <v>2</v>
      </c>
      <c r="S73" s="39">
        <f t="shared" si="29"/>
        <v>2.2818026240730177E-2</v>
      </c>
      <c r="T73" s="27">
        <v>5</v>
      </c>
      <c r="U73" s="39">
        <f t="shared" si="30"/>
        <v>6.1568772318679965E-2</v>
      </c>
    </row>
    <row r="74" spans="1:21" ht="18.75" customHeight="1">
      <c r="A74" s="113" t="s">
        <v>120</v>
      </c>
      <c r="B74" s="28" t="s">
        <v>19</v>
      </c>
      <c r="C74" s="40" t="str">
        <f t="shared" si="21"/>
        <v>-</v>
      </c>
      <c r="D74" s="28" t="s">
        <v>19</v>
      </c>
      <c r="E74" s="40" t="str">
        <f t="shared" si="22"/>
        <v>-</v>
      </c>
      <c r="F74" s="28" t="s">
        <v>19</v>
      </c>
      <c r="G74" s="40" t="str">
        <f t="shared" si="23"/>
        <v>-</v>
      </c>
      <c r="H74" s="28" t="s">
        <v>19</v>
      </c>
      <c r="I74" s="40" t="str">
        <f t="shared" si="24"/>
        <v>-</v>
      </c>
      <c r="J74" s="28" t="s">
        <v>19</v>
      </c>
      <c r="K74" s="40" t="str">
        <f t="shared" si="25"/>
        <v>-</v>
      </c>
      <c r="L74" s="28">
        <v>1</v>
      </c>
      <c r="M74" s="40">
        <f t="shared" si="26"/>
        <v>1.1837121212121212E-2</v>
      </c>
      <c r="N74" s="28">
        <v>1</v>
      </c>
      <c r="O74" s="40">
        <f t="shared" si="27"/>
        <v>1.2588116817724069E-2</v>
      </c>
      <c r="P74" s="28" t="s">
        <v>19</v>
      </c>
      <c r="Q74" s="40" t="str">
        <f t="shared" si="28"/>
        <v>-</v>
      </c>
      <c r="R74" s="28" t="s">
        <v>9</v>
      </c>
      <c r="S74" s="40" t="str">
        <f t="shared" si="29"/>
        <v>-</v>
      </c>
      <c r="T74" s="28" t="s">
        <v>9</v>
      </c>
      <c r="U74" s="40" t="str">
        <f t="shared" si="30"/>
        <v>-</v>
      </c>
    </row>
    <row r="75" spans="1:21" ht="20.100000000000001" customHeight="1">
      <c r="A75" s="14" t="s">
        <v>404</v>
      </c>
    </row>
    <row r="76" spans="1:21" s="35" customFormat="1" ht="27" customHeight="1">
      <c r="A76" s="370" t="s">
        <v>609</v>
      </c>
      <c r="B76" s="370"/>
      <c r="C76" s="370"/>
      <c r="D76" s="370"/>
      <c r="E76" s="370"/>
      <c r="F76" s="370"/>
      <c r="G76" s="370"/>
      <c r="H76" s="370"/>
      <c r="I76" s="370"/>
      <c r="J76" s="370"/>
      <c r="K76" s="370"/>
      <c r="L76" s="370"/>
      <c r="M76" s="370"/>
      <c r="N76" s="370"/>
      <c r="O76" s="370"/>
      <c r="P76" s="370"/>
      <c r="Q76" s="370"/>
      <c r="R76" s="370"/>
      <c r="S76" s="370"/>
      <c r="T76" s="370"/>
      <c r="U76" s="370"/>
    </row>
  </sheetData>
  <sortState ref="A5:U74">
    <sortCondition descending="1" ref="T5:T74"/>
  </sortState>
  <mergeCells count="12">
    <mergeCell ref="A76:U76"/>
    <mergeCell ref="T2:U2"/>
    <mergeCell ref="A1:U1"/>
    <mergeCell ref="B2:C2"/>
    <mergeCell ref="D2:E2"/>
    <mergeCell ref="F2:G2"/>
    <mergeCell ref="H2:I2"/>
    <mergeCell ref="J2:K2"/>
    <mergeCell ref="L2:M2"/>
    <mergeCell ref="N2:O2"/>
    <mergeCell ref="P2:Q2"/>
    <mergeCell ref="R2:S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24"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28"/>
  <sheetViews>
    <sheetView showGridLines="0" showRuler="0" zoomScale="90" zoomScaleNormal="90" zoomScalePageLayoutView="125" workbookViewId="0">
      <pane xSplit="1" topLeftCell="B1" activePane="topRight" state="frozen"/>
      <selection activeCell="F17" sqref="F17"/>
      <selection pane="topRight" activeCell="F17" sqref="F17"/>
    </sheetView>
  </sheetViews>
  <sheetFormatPr defaultColWidth="9" defaultRowHeight="15.75"/>
  <cols>
    <col min="1" max="1" width="21.875" style="17" bestFit="1" customWidth="1"/>
    <col min="2" max="2" width="10.125" style="17" bestFit="1" customWidth="1"/>
    <col min="3" max="3" width="9.125" style="17" bestFit="1" customWidth="1"/>
    <col min="4" max="4" width="8.125" style="17" customWidth="1"/>
    <col min="5" max="5" width="9.125" style="17" bestFit="1" customWidth="1"/>
    <col min="6" max="6" width="11.125" style="17" bestFit="1" customWidth="1"/>
    <col min="7" max="7" width="9.125" style="17" bestFit="1" customWidth="1"/>
    <col min="8" max="8" width="11.125" style="17" bestFit="1" customWidth="1"/>
    <col min="9" max="9" width="9.125" style="17" bestFit="1" customWidth="1"/>
    <col min="10" max="10" width="10.125" style="17" bestFit="1" customWidth="1"/>
    <col min="11" max="11" width="9.125" style="17" bestFit="1" customWidth="1"/>
    <col min="12" max="16384" width="9" style="17"/>
  </cols>
  <sheetData>
    <row r="1" spans="1:13" ht="23.25" customHeight="1">
      <c r="A1" s="297" t="s">
        <v>848</v>
      </c>
      <c r="B1" s="297"/>
      <c r="C1" s="297"/>
      <c r="D1" s="297"/>
      <c r="E1" s="297"/>
      <c r="F1" s="297"/>
      <c r="G1" s="297"/>
      <c r="H1" s="297"/>
      <c r="I1" s="297"/>
      <c r="J1" s="297"/>
      <c r="K1" s="297"/>
    </row>
    <row r="2" spans="1:13" s="36" customFormat="1" ht="20.100000000000001" customHeight="1">
      <c r="A2" s="18"/>
      <c r="B2" s="302" t="s">
        <v>583</v>
      </c>
      <c r="C2" s="302"/>
      <c r="D2" s="302" t="s">
        <v>30</v>
      </c>
      <c r="E2" s="302"/>
      <c r="F2" s="302" t="s">
        <v>31</v>
      </c>
      <c r="G2" s="302"/>
      <c r="H2" s="302" t="s">
        <v>32</v>
      </c>
      <c r="I2" s="302"/>
      <c r="J2" s="302" t="s">
        <v>33</v>
      </c>
      <c r="K2" s="302"/>
    </row>
    <row r="3" spans="1:13" s="36" customFormat="1" ht="20.100000000000001" customHeight="1">
      <c r="A3" s="30"/>
      <c r="B3" s="115" t="s">
        <v>121</v>
      </c>
      <c r="C3" s="115" t="s">
        <v>122</v>
      </c>
      <c r="D3" s="115" t="s">
        <v>121</v>
      </c>
      <c r="E3" s="115" t="s">
        <v>123</v>
      </c>
      <c r="F3" s="115" t="s">
        <v>59</v>
      </c>
      <c r="G3" s="115" t="s">
        <v>122</v>
      </c>
      <c r="H3" s="115" t="s">
        <v>124</v>
      </c>
      <c r="I3" s="115" t="s">
        <v>5</v>
      </c>
      <c r="J3" s="115" t="s">
        <v>121</v>
      </c>
      <c r="K3" s="115" t="s">
        <v>122</v>
      </c>
    </row>
    <row r="4" spans="1:13" ht="20.100000000000001" customHeight="1">
      <c r="A4" s="1" t="s">
        <v>125</v>
      </c>
      <c r="B4" s="27">
        <f>SUM(B5+B6)</f>
        <v>11383</v>
      </c>
      <c r="C4" s="21">
        <f t="shared" ref="C4:C13" si="0">B4/B$4*100</f>
        <v>100</v>
      </c>
      <c r="D4" s="27">
        <f>SUM(D5:D6)</f>
        <v>10374</v>
      </c>
      <c r="E4" s="21">
        <f t="shared" ref="E4:E13" si="1">D4/D$4*100</f>
        <v>100</v>
      </c>
      <c r="F4" s="31">
        <f>SUM(F5:F6)</f>
        <v>9359</v>
      </c>
      <c r="G4" s="21">
        <f t="shared" ref="G4:G13" si="2">F4/F$4*100</f>
        <v>100</v>
      </c>
      <c r="H4" s="31">
        <f>SUM(H5+H6)</f>
        <v>8568</v>
      </c>
      <c r="I4" s="21">
        <f>SUM(I7:I13)</f>
        <v>100</v>
      </c>
      <c r="J4" s="31">
        <f>SUM(J5:J6)</f>
        <v>8132</v>
      </c>
      <c r="K4" s="21">
        <f>J4/J$4*100</f>
        <v>100</v>
      </c>
    </row>
    <row r="5" spans="1:13" ht="16.5" customHeight="1">
      <c r="A5" s="53" t="s">
        <v>126</v>
      </c>
      <c r="B5" s="27">
        <v>9859</v>
      </c>
      <c r="C5" s="21">
        <f t="shared" si="0"/>
        <v>86.611613810067638</v>
      </c>
      <c r="D5" s="27">
        <v>8961</v>
      </c>
      <c r="E5" s="21">
        <f t="shared" si="1"/>
        <v>86.379410063620583</v>
      </c>
      <c r="F5" s="116">
        <v>8144</v>
      </c>
      <c r="G5" s="21">
        <f t="shared" si="2"/>
        <v>87.017843786729358</v>
      </c>
      <c r="H5" s="116">
        <v>7410</v>
      </c>
      <c r="I5" s="21">
        <f t="shared" ref="I5:I13" si="3">H5/H$4*100</f>
        <v>86.484593837535016</v>
      </c>
      <c r="J5" s="116">
        <v>7042</v>
      </c>
      <c r="K5" s="21">
        <f t="shared" ref="K5:K13" si="4">J5/J$4*100</f>
        <v>86.59616330545991</v>
      </c>
    </row>
    <row r="6" spans="1:13" ht="17.25" customHeight="1">
      <c r="A6" s="114" t="s">
        <v>127</v>
      </c>
      <c r="B6" s="28">
        <v>1524</v>
      </c>
      <c r="C6" s="22">
        <f t="shared" si="0"/>
        <v>13.388386189932355</v>
      </c>
      <c r="D6" s="28">
        <v>1413</v>
      </c>
      <c r="E6" s="22">
        <f t="shared" si="1"/>
        <v>13.62058993637941</v>
      </c>
      <c r="F6" s="117">
        <v>1215</v>
      </c>
      <c r="G6" s="22">
        <f t="shared" si="2"/>
        <v>12.982156213270649</v>
      </c>
      <c r="H6" s="117">
        <v>1158</v>
      </c>
      <c r="I6" s="22">
        <f t="shared" si="3"/>
        <v>13.515406162464986</v>
      </c>
      <c r="J6" s="117">
        <v>1090</v>
      </c>
      <c r="K6" s="22">
        <f t="shared" si="4"/>
        <v>13.40383669454009</v>
      </c>
    </row>
    <row r="7" spans="1:13" ht="20.100000000000001" customHeight="1">
      <c r="A7" s="46" t="s">
        <v>128</v>
      </c>
      <c r="B7" s="27">
        <v>2</v>
      </c>
      <c r="C7" s="21">
        <f t="shared" si="0"/>
        <v>1.7570060616709127E-2</v>
      </c>
      <c r="D7" s="27">
        <v>4</v>
      </c>
      <c r="E7" s="21">
        <f t="shared" si="1"/>
        <v>3.8557933294775401E-2</v>
      </c>
      <c r="F7" s="27">
        <v>2</v>
      </c>
      <c r="G7" s="21">
        <f t="shared" si="2"/>
        <v>2.1369804466289135E-2</v>
      </c>
      <c r="H7" s="27">
        <v>5</v>
      </c>
      <c r="I7" s="21">
        <f t="shared" si="3"/>
        <v>5.8356676003734828E-2</v>
      </c>
      <c r="J7" s="27">
        <v>6</v>
      </c>
      <c r="K7" s="21">
        <f t="shared" si="4"/>
        <v>7.3782587309394979E-2</v>
      </c>
    </row>
    <row r="8" spans="1:13" ht="20.100000000000001" customHeight="1">
      <c r="A8" s="46" t="s">
        <v>129</v>
      </c>
      <c r="B8" s="27">
        <v>429</v>
      </c>
      <c r="C8" s="21">
        <f t="shared" si="0"/>
        <v>3.7687780022841082</v>
      </c>
      <c r="D8" s="27">
        <v>401</v>
      </c>
      <c r="E8" s="21">
        <f t="shared" si="1"/>
        <v>3.8654328128012336</v>
      </c>
      <c r="F8" s="27">
        <v>383</v>
      </c>
      <c r="G8" s="21">
        <f t="shared" si="2"/>
        <v>4.0923175552943691</v>
      </c>
      <c r="H8" s="27">
        <v>315</v>
      </c>
      <c r="I8" s="21">
        <f t="shared" si="3"/>
        <v>3.6764705882352944</v>
      </c>
      <c r="J8" s="27">
        <v>265</v>
      </c>
      <c r="K8" s="21">
        <f t="shared" si="4"/>
        <v>3.2587309394982786</v>
      </c>
    </row>
    <row r="9" spans="1:13" ht="20.100000000000001" customHeight="1">
      <c r="A9" s="46" t="s">
        <v>130</v>
      </c>
      <c r="B9" s="27">
        <v>1070</v>
      </c>
      <c r="C9" s="21">
        <f t="shared" si="0"/>
        <v>9.3999824299393833</v>
      </c>
      <c r="D9" s="27">
        <v>875</v>
      </c>
      <c r="E9" s="21">
        <f t="shared" si="1"/>
        <v>8.4345479082321191</v>
      </c>
      <c r="F9" s="27">
        <v>870</v>
      </c>
      <c r="G9" s="21">
        <f t="shared" si="2"/>
        <v>9.295864942835772</v>
      </c>
      <c r="H9" s="27">
        <v>746</v>
      </c>
      <c r="I9" s="21">
        <f t="shared" si="3"/>
        <v>8.7068160597572355</v>
      </c>
      <c r="J9" s="27">
        <v>614</v>
      </c>
      <c r="K9" s="21">
        <f t="shared" si="4"/>
        <v>7.5504181013280869</v>
      </c>
    </row>
    <row r="10" spans="1:13" ht="20.100000000000001" customHeight="1">
      <c r="A10" s="46" t="s">
        <v>131</v>
      </c>
      <c r="B10" s="27">
        <v>1910</v>
      </c>
      <c r="C10" s="21">
        <f t="shared" si="0"/>
        <v>16.779407888957216</v>
      </c>
      <c r="D10" s="27">
        <v>1476</v>
      </c>
      <c r="E10" s="21">
        <f t="shared" si="1"/>
        <v>14.227877385772123</v>
      </c>
      <c r="F10" s="27">
        <v>1344</v>
      </c>
      <c r="G10" s="21">
        <f t="shared" si="2"/>
        <v>14.360508601346297</v>
      </c>
      <c r="H10" s="27">
        <v>1192</v>
      </c>
      <c r="I10" s="21">
        <f t="shared" si="3"/>
        <v>13.912231559290383</v>
      </c>
      <c r="J10" s="27">
        <v>1134</v>
      </c>
      <c r="K10" s="21">
        <f t="shared" si="4"/>
        <v>13.944909001475652</v>
      </c>
    </row>
    <row r="11" spans="1:13" ht="20.100000000000001" customHeight="1">
      <c r="A11" s="46" t="s">
        <v>132</v>
      </c>
      <c r="B11" s="27">
        <v>2324</v>
      </c>
      <c r="C11" s="21">
        <f t="shared" si="0"/>
        <v>20.416410436616005</v>
      </c>
      <c r="D11" s="27">
        <v>1945</v>
      </c>
      <c r="E11" s="21">
        <f t="shared" si="1"/>
        <v>18.748795064584538</v>
      </c>
      <c r="F11" s="27">
        <v>1601</v>
      </c>
      <c r="G11" s="21">
        <f t="shared" si="2"/>
        <v>17.106528475264451</v>
      </c>
      <c r="H11" s="27">
        <v>1519</v>
      </c>
      <c r="I11" s="21">
        <f t="shared" si="3"/>
        <v>17.72875816993464</v>
      </c>
      <c r="J11" s="27">
        <v>1543</v>
      </c>
      <c r="K11" s="21">
        <f t="shared" si="4"/>
        <v>18.97442203639941</v>
      </c>
    </row>
    <row r="12" spans="1:13" ht="20.100000000000001" customHeight="1">
      <c r="A12" s="46" t="s">
        <v>133</v>
      </c>
      <c r="B12" s="27">
        <v>2546</v>
      </c>
      <c r="C12" s="21">
        <f t="shared" si="0"/>
        <v>22.366687165070719</v>
      </c>
      <c r="D12" s="27">
        <v>2621</v>
      </c>
      <c r="E12" s="21">
        <f t="shared" si="1"/>
        <v>25.265085791401582</v>
      </c>
      <c r="F12" s="27">
        <v>2205</v>
      </c>
      <c r="G12" s="21">
        <f t="shared" si="2"/>
        <v>23.560209424083769</v>
      </c>
      <c r="H12" s="27">
        <v>1908</v>
      </c>
      <c r="I12" s="21">
        <f t="shared" si="3"/>
        <v>22.268907563025213</v>
      </c>
      <c r="J12" s="27">
        <v>2015</v>
      </c>
      <c r="K12" s="21">
        <f t="shared" si="4"/>
        <v>24.778652238071817</v>
      </c>
      <c r="M12" s="25"/>
    </row>
    <row r="13" spans="1:13" ht="20.100000000000001" customHeight="1" thickBot="1">
      <c r="A13" s="113" t="s">
        <v>134</v>
      </c>
      <c r="B13" s="27">
        <v>3102</v>
      </c>
      <c r="C13" s="21">
        <f t="shared" si="0"/>
        <v>27.251164016515855</v>
      </c>
      <c r="D13" s="27">
        <v>3052</v>
      </c>
      <c r="E13" s="21">
        <f t="shared" si="1"/>
        <v>29.41970310391363</v>
      </c>
      <c r="F13" s="27">
        <v>2954</v>
      </c>
      <c r="G13" s="21">
        <f t="shared" si="2"/>
        <v>31.563201196709052</v>
      </c>
      <c r="H13" s="27">
        <v>2883</v>
      </c>
      <c r="I13" s="37">
        <f t="shared" si="3"/>
        <v>33.648459383753504</v>
      </c>
      <c r="J13" s="28">
        <v>2555</v>
      </c>
      <c r="K13" s="21">
        <f t="shared" si="4"/>
        <v>31.419085095917364</v>
      </c>
    </row>
    <row r="14" spans="1:13" s="36" customFormat="1" ht="20.100000000000001" customHeight="1">
      <c r="A14" s="38"/>
      <c r="B14" s="373" t="s">
        <v>584</v>
      </c>
      <c r="C14" s="373"/>
      <c r="D14" s="373" t="s">
        <v>35</v>
      </c>
      <c r="E14" s="373"/>
      <c r="F14" s="373" t="s">
        <v>36</v>
      </c>
      <c r="G14" s="373"/>
      <c r="H14" s="373" t="s">
        <v>37</v>
      </c>
      <c r="I14" s="373"/>
      <c r="J14" s="373" t="s">
        <v>567</v>
      </c>
      <c r="K14" s="373"/>
    </row>
    <row r="15" spans="1:13" s="36" customFormat="1" ht="20.100000000000001" customHeight="1">
      <c r="A15" s="30"/>
      <c r="B15" s="115" t="s">
        <v>135</v>
      </c>
      <c r="C15" s="115" t="s">
        <v>5</v>
      </c>
      <c r="D15" s="115" t="s">
        <v>135</v>
      </c>
      <c r="E15" s="115" t="s">
        <v>123</v>
      </c>
      <c r="F15" s="115" t="s">
        <v>121</v>
      </c>
      <c r="G15" s="115" t="s">
        <v>122</v>
      </c>
      <c r="H15" s="115" t="s">
        <v>121</v>
      </c>
      <c r="I15" s="115" t="s">
        <v>122</v>
      </c>
      <c r="J15" s="115" t="s">
        <v>59</v>
      </c>
      <c r="K15" s="115" t="s">
        <v>122</v>
      </c>
    </row>
    <row r="16" spans="1:13" ht="20.100000000000001" customHeight="1">
      <c r="A16" s="1" t="s">
        <v>136</v>
      </c>
      <c r="B16" s="31">
        <f>SUM(B17,B18)</f>
        <v>8448</v>
      </c>
      <c r="C16" s="21">
        <f t="shared" ref="C16:C25" si="5">B16/B$16*100</f>
        <v>100</v>
      </c>
      <c r="D16" s="31">
        <f>SUM(D17,D18)</f>
        <v>7944</v>
      </c>
      <c r="E16" s="21">
        <f t="shared" ref="E16:E25" si="6">D16/D$16*100</f>
        <v>100</v>
      </c>
      <c r="F16" s="31">
        <f>SUM(F19:F25)</f>
        <v>7829</v>
      </c>
      <c r="G16" s="32">
        <f>SUM(G17:G18)</f>
        <v>100</v>
      </c>
      <c r="H16" s="31">
        <f>SUM(H19:H25)</f>
        <v>8765</v>
      </c>
      <c r="I16" s="32">
        <f>SUM(I17:I18)</f>
        <v>100.00000000000001</v>
      </c>
      <c r="J16" s="31">
        <f>SUM(J19:J25)</f>
        <v>8121</v>
      </c>
      <c r="K16" s="32">
        <f>SUM(K17:K18)</f>
        <v>100</v>
      </c>
    </row>
    <row r="17" spans="1:12" ht="16.5" customHeight="1">
      <c r="A17" s="53" t="s">
        <v>126</v>
      </c>
      <c r="B17" s="27">
        <v>7351</v>
      </c>
      <c r="C17" s="21">
        <f t="shared" si="5"/>
        <v>87.014678030303031</v>
      </c>
      <c r="D17" s="116">
        <v>6907</v>
      </c>
      <c r="E17" s="21">
        <f t="shared" si="6"/>
        <v>86.946122860020139</v>
      </c>
      <c r="F17" s="116">
        <v>6803</v>
      </c>
      <c r="G17" s="39">
        <f t="shared" ref="G17:G25" si="7">F17/F$16*100</f>
        <v>86.89487801762678</v>
      </c>
      <c r="H17" s="27">
        <f>7009+602</f>
        <v>7611</v>
      </c>
      <c r="I17" s="39">
        <f>H17/H$16*100</f>
        <v>86.833998859098699</v>
      </c>
      <c r="J17" s="27">
        <f>6501+530</f>
        <v>7031</v>
      </c>
      <c r="K17" s="39">
        <f>J17/J$16*100</f>
        <v>86.578007634527765</v>
      </c>
    </row>
    <row r="18" spans="1:12" ht="17.25" customHeight="1">
      <c r="A18" s="114" t="s">
        <v>127</v>
      </c>
      <c r="B18" s="28">
        <v>1097</v>
      </c>
      <c r="C18" s="22">
        <f t="shared" si="5"/>
        <v>12.985321969696969</v>
      </c>
      <c r="D18" s="117">
        <v>1037</v>
      </c>
      <c r="E18" s="22">
        <f t="shared" si="6"/>
        <v>13.053877139979859</v>
      </c>
      <c r="F18" s="117">
        <v>1026</v>
      </c>
      <c r="G18" s="40">
        <f t="shared" si="7"/>
        <v>13.105121982373227</v>
      </c>
      <c r="H18" s="28">
        <f>1005+149</f>
        <v>1154</v>
      </c>
      <c r="I18" s="40">
        <f t="shared" ref="I18" si="8">H18/H$16*100</f>
        <v>13.166001140901312</v>
      </c>
      <c r="J18" s="28">
        <f>961+129</f>
        <v>1090</v>
      </c>
      <c r="K18" s="40">
        <f t="shared" ref="K18:K25" si="9">J18/J$16*100</f>
        <v>13.421992365472232</v>
      </c>
    </row>
    <row r="19" spans="1:12" ht="20.100000000000001" customHeight="1">
      <c r="A19" s="46" t="s">
        <v>137</v>
      </c>
      <c r="B19" s="27">
        <v>7</v>
      </c>
      <c r="C19" s="21">
        <f t="shared" si="5"/>
        <v>8.2859848484848481E-2</v>
      </c>
      <c r="D19" s="27">
        <v>6</v>
      </c>
      <c r="E19" s="21">
        <f t="shared" si="6"/>
        <v>7.5528700906344406E-2</v>
      </c>
      <c r="F19" s="27">
        <v>4</v>
      </c>
      <c r="G19" s="39">
        <f t="shared" si="7"/>
        <v>5.1092093498531103E-2</v>
      </c>
      <c r="H19" s="27" t="s">
        <v>15</v>
      </c>
      <c r="I19" s="39" t="s">
        <v>15</v>
      </c>
      <c r="J19" s="27" t="s">
        <v>585</v>
      </c>
      <c r="K19" s="39" t="s">
        <v>138</v>
      </c>
    </row>
    <row r="20" spans="1:12" ht="20.100000000000001" customHeight="1">
      <c r="A20" s="46" t="s">
        <v>129</v>
      </c>
      <c r="B20" s="27">
        <v>259</v>
      </c>
      <c r="C20" s="21">
        <f t="shared" si="5"/>
        <v>3.065814393939394</v>
      </c>
      <c r="D20" s="27">
        <v>223</v>
      </c>
      <c r="E20" s="21">
        <f t="shared" si="6"/>
        <v>2.8071500503524671</v>
      </c>
      <c r="F20" s="27">
        <f>208+24</f>
        <v>232</v>
      </c>
      <c r="G20" s="39">
        <f t="shared" si="7"/>
        <v>2.9633414229148038</v>
      </c>
      <c r="H20" s="27">
        <f>227+20</f>
        <v>247</v>
      </c>
      <c r="I20" s="39">
        <f t="shared" ref="I20:I25" si="10">H20/H$16*100</f>
        <v>2.8180262407301768</v>
      </c>
      <c r="J20" s="27">
        <v>202</v>
      </c>
      <c r="K20" s="39">
        <f t="shared" si="9"/>
        <v>2.4873784016746709</v>
      </c>
    </row>
    <row r="21" spans="1:12" ht="20.100000000000001" customHeight="1">
      <c r="A21" s="46" t="s">
        <v>130</v>
      </c>
      <c r="B21" s="27">
        <v>592</v>
      </c>
      <c r="C21" s="21">
        <f t="shared" si="5"/>
        <v>7.0075757575757569</v>
      </c>
      <c r="D21" s="27">
        <v>466</v>
      </c>
      <c r="E21" s="21">
        <f t="shared" si="6"/>
        <v>5.8660624370594157</v>
      </c>
      <c r="F21" s="27">
        <f>477+31</f>
        <v>508</v>
      </c>
      <c r="G21" s="39">
        <f t="shared" si="7"/>
        <v>6.4886958743134509</v>
      </c>
      <c r="H21" s="27">
        <f>497+68</f>
        <v>565</v>
      </c>
      <c r="I21" s="39">
        <f t="shared" si="10"/>
        <v>6.4460924130062756</v>
      </c>
      <c r="J21" s="27">
        <v>581</v>
      </c>
      <c r="K21" s="39">
        <f t="shared" si="9"/>
        <v>7.1542913434306117</v>
      </c>
    </row>
    <row r="22" spans="1:12" ht="20.100000000000001" customHeight="1">
      <c r="A22" s="46" t="s">
        <v>139</v>
      </c>
      <c r="B22" s="27">
        <v>1011</v>
      </c>
      <c r="C22" s="21">
        <f t="shared" si="5"/>
        <v>11.967329545454545</v>
      </c>
      <c r="D22" s="27">
        <v>901</v>
      </c>
      <c r="E22" s="21">
        <f t="shared" si="6"/>
        <v>11.341893252769387</v>
      </c>
      <c r="F22" s="27">
        <f>850+80</f>
        <v>930</v>
      </c>
      <c r="G22" s="39">
        <f t="shared" si="7"/>
        <v>11.878911738408481</v>
      </c>
      <c r="H22" s="27">
        <f>1059+118</f>
        <v>1177</v>
      </c>
      <c r="I22" s="39">
        <f t="shared" si="10"/>
        <v>13.42840844266971</v>
      </c>
      <c r="J22" s="27">
        <v>1068</v>
      </c>
      <c r="K22" s="39">
        <f t="shared" si="9"/>
        <v>13.15108976727004</v>
      </c>
      <c r="L22" s="41"/>
    </row>
    <row r="23" spans="1:12" ht="20.100000000000001" customHeight="1">
      <c r="A23" s="46" t="s">
        <v>140</v>
      </c>
      <c r="B23" s="27">
        <v>1610</v>
      </c>
      <c r="C23" s="21">
        <f t="shared" si="5"/>
        <v>19.057765151515152</v>
      </c>
      <c r="D23" s="27">
        <v>1312</v>
      </c>
      <c r="E23" s="21">
        <f t="shared" si="6"/>
        <v>16.515609264853978</v>
      </c>
      <c r="F23" s="27">
        <f>1281+118</f>
        <v>1399</v>
      </c>
      <c r="G23" s="39">
        <f t="shared" si="7"/>
        <v>17.869459701111253</v>
      </c>
      <c r="H23" s="27">
        <f>1464+144</f>
        <v>1608</v>
      </c>
      <c r="I23" s="39">
        <f t="shared" si="10"/>
        <v>18.345693097547063</v>
      </c>
      <c r="J23" s="27">
        <v>1480</v>
      </c>
      <c r="K23" s="39">
        <f t="shared" si="9"/>
        <v>18.22435660632927</v>
      </c>
      <c r="L23" s="23"/>
    </row>
    <row r="24" spans="1:12" ht="20.100000000000001" customHeight="1">
      <c r="A24" s="46" t="s">
        <v>141</v>
      </c>
      <c r="B24" s="27">
        <v>2172</v>
      </c>
      <c r="C24" s="21">
        <f t="shared" si="5"/>
        <v>25.71022727272727</v>
      </c>
      <c r="D24" s="27">
        <v>2092</v>
      </c>
      <c r="E24" s="21">
        <f t="shared" si="6"/>
        <v>26.33434038267875</v>
      </c>
      <c r="F24" s="27">
        <f>1815+151</f>
        <v>1966</v>
      </c>
      <c r="G24" s="39">
        <f t="shared" si="7"/>
        <v>25.111763954528037</v>
      </c>
      <c r="H24" s="27">
        <f>2034+164</f>
        <v>2198</v>
      </c>
      <c r="I24" s="39">
        <f t="shared" si="10"/>
        <v>25.077010838562465</v>
      </c>
      <c r="J24" s="27">
        <v>2057</v>
      </c>
      <c r="K24" s="39">
        <f t="shared" si="9"/>
        <v>25.329392931904938</v>
      </c>
      <c r="L24" s="23"/>
    </row>
    <row r="25" spans="1:12" ht="20.100000000000001" customHeight="1">
      <c r="A25" s="113" t="s">
        <v>134</v>
      </c>
      <c r="B25" s="28">
        <v>2797</v>
      </c>
      <c r="C25" s="22">
        <f t="shared" si="5"/>
        <v>33.108428030303031</v>
      </c>
      <c r="D25" s="28">
        <v>2944</v>
      </c>
      <c r="E25" s="22">
        <f t="shared" si="6"/>
        <v>37.059415911379659</v>
      </c>
      <c r="F25" s="28">
        <f>2534+256</f>
        <v>2790</v>
      </c>
      <c r="G25" s="40">
        <f t="shared" si="7"/>
        <v>35.636735215225443</v>
      </c>
      <c r="H25" s="28">
        <f>2733+237</f>
        <v>2970</v>
      </c>
      <c r="I25" s="40">
        <f t="shared" si="10"/>
        <v>33.884768967484312</v>
      </c>
      <c r="J25" s="28">
        <v>2733</v>
      </c>
      <c r="K25" s="40">
        <f t="shared" si="9"/>
        <v>33.653490949390466</v>
      </c>
      <c r="L25" s="23"/>
    </row>
    <row r="26" spans="1:12" s="1" customFormat="1">
      <c r="A26" s="374" t="s">
        <v>404</v>
      </c>
      <c r="B26" s="375"/>
      <c r="C26" s="375"/>
      <c r="E26" s="42"/>
      <c r="H26" s="33"/>
    </row>
    <row r="27" spans="1:12" s="1" customFormat="1" ht="27" customHeight="1">
      <c r="A27" s="370" t="s">
        <v>577</v>
      </c>
      <c r="B27" s="370"/>
      <c r="C27" s="370"/>
      <c r="D27" s="370"/>
      <c r="E27" s="370"/>
      <c r="F27" s="370"/>
      <c r="G27" s="370"/>
      <c r="H27" s="370"/>
      <c r="I27" s="370"/>
      <c r="J27" s="370"/>
      <c r="K27" s="370"/>
    </row>
    <row r="28" spans="1:12">
      <c r="A28" s="372" t="s">
        <v>142</v>
      </c>
      <c r="B28" s="354"/>
      <c r="C28" s="354"/>
    </row>
  </sheetData>
  <mergeCells count="14">
    <mergeCell ref="A28:C28"/>
    <mergeCell ref="B14:C14"/>
    <mergeCell ref="D14:E14"/>
    <mergeCell ref="F14:G14"/>
    <mergeCell ref="A27:K27"/>
    <mergeCell ref="H14:I14"/>
    <mergeCell ref="J14:K14"/>
    <mergeCell ref="A26:C26"/>
    <mergeCell ref="A1:K1"/>
    <mergeCell ref="B2:C2"/>
    <mergeCell ref="D2:E2"/>
    <mergeCell ref="F2:G2"/>
    <mergeCell ref="H2:I2"/>
    <mergeCell ref="J2:K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62"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O53"/>
  <sheetViews>
    <sheetView showGridLines="0" zoomScale="70" zoomScaleNormal="70" workbookViewId="0">
      <selection activeCell="V18" sqref="V18"/>
    </sheetView>
  </sheetViews>
  <sheetFormatPr defaultColWidth="9" defaultRowHeight="15.75"/>
  <cols>
    <col min="1" max="1" width="22.625" style="1" bestFit="1" customWidth="1"/>
    <col min="2" max="2" width="9" style="1"/>
    <col min="3" max="3" width="9" style="34" customWidth="1"/>
    <col min="4" max="4" width="9.625" style="1" customWidth="1"/>
    <col min="5" max="5" width="9.625" style="34" customWidth="1"/>
    <col min="6" max="6" width="9.625" style="1" customWidth="1"/>
    <col min="7" max="7" width="9.625" style="34" customWidth="1"/>
    <col min="8" max="8" width="9.625" style="1" customWidth="1"/>
    <col min="9" max="9" width="9.625" style="34" customWidth="1"/>
    <col min="10" max="10" width="9.625" style="1" customWidth="1"/>
    <col min="11" max="11" width="9.625" style="34" customWidth="1"/>
    <col min="12" max="12" width="9.625" style="1" customWidth="1"/>
    <col min="13" max="13" width="9.625" style="34" customWidth="1"/>
    <col min="14" max="14" width="9.625" style="1" customWidth="1"/>
    <col min="15" max="15" width="9.625" style="34" customWidth="1"/>
    <col min="16" max="16384" width="9" style="1"/>
  </cols>
  <sheetData>
    <row r="1" spans="1:15" ht="24.75" customHeight="1">
      <c r="A1" s="297" t="s">
        <v>865</v>
      </c>
      <c r="B1" s="297"/>
      <c r="C1" s="297"/>
      <c r="D1" s="297"/>
      <c r="E1" s="297"/>
      <c r="F1" s="297"/>
      <c r="G1" s="297"/>
      <c r="H1" s="297"/>
      <c r="I1" s="297"/>
      <c r="J1" s="297"/>
      <c r="K1" s="297"/>
      <c r="L1" s="297"/>
      <c r="M1" s="297"/>
      <c r="N1" s="297"/>
      <c r="O1" s="297"/>
    </row>
    <row r="2" spans="1:15" ht="16.5">
      <c r="A2" s="378"/>
      <c r="B2" s="379" t="s">
        <v>596</v>
      </c>
      <c r="C2" s="379"/>
      <c r="D2" s="302" t="s">
        <v>597</v>
      </c>
      <c r="E2" s="302"/>
      <c r="F2" s="380" t="s">
        <v>598</v>
      </c>
      <c r="G2" s="380"/>
      <c r="H2" s="380" t="s">
        <v>599</v>
      </c>
      <c r="I2" s="380"/>
      <c r="J2" s="380" t="s">
        <v>600</v>
      </c>
      <c r="K2" s="380"/>
      <c r="L2" s="380" t="s">
        <v>601</v>
      </c>
      <c r="M2" s="380"/>
      <c r="N2" s="380" t="s">
        <v>602</v>
      </c>
      <c r="O2" s="380"/>
    </row>
    <row r="3" spans="1:15" ht="16.5">
      <c r="A3" s="342"/>
      <c r="B3" s="115" t="s">
        <v>603</v>
      </c>
      <c r="C3" s="210" t="s">
        <v>122</v>
      </c>
      <c r="D3" s="115" t="s">
        <v>604</v>
      </c>
      <c r="E3" s="210" t="s">
        <v>122</v>
      </c>
      <c r="F3" s="115" t="s">
        <v>604</v>
      </c>
      <c r="G3" s="210" t="s">
        <v>122</v>
      </c>
      <c r="H3" s="115" t="s">
        <v>605</v>
      </c>
      <c r="I3" s="210" t="s">
        <v>122</v>
      </c>
      <c r="J3" s="115" t="s">
        <v>606</v>
      </c>
      <c r="K3" s="210" t="s">
        <v>5</v>
      </c>
      <c r="L3" s="115" t="s">
        <v>604</v>
      </c>
      <c r="M3" s="210" t="s">
        <v>5</v>
      </c>
      <c r="N3" s="115" t="s">
        <v>607</v>
      </c>
      <c r="O3" s="210" t="s">
        <v>122</v>
      </c>
    </row>
    <row r="4" spans="1:15" ht="17.45" customHeight="1">
      <c r="A4" s="46" t="s">
        <v>596</v>
      </c>
      <c r="B4" s="76">
        <f>SUM(D4,F4,H4,J4,L4,N4)</f>
        <v>8121</v>
      </c>
      <c r="C4" s="20">
        <f t="shared" ref="C4:O4" si="0">SUM(C5:C51)</f>
        <v>99.999999999999957</v>
      </c>
      <c r="D4" s="76">
        <f t="shared" si="0"/>
        <v>202</v>
      </c>
      <c r="E4" s="20">
        <f t="shared" si="0"/>
        <v>100.00000000000006</v>
      </c>
      <c r="F4" s="76">
        <f t="shared" si="0"/>
        <v>581</v>
      </c>
      <c r="G4" s="20">
        <f t="shared" si="0"/>
        <v>100.00000000000001</v>
      </c>
      <c r="H4" s="76">
        <f t="shared" si="0"/>
        <v>1068</v>
      </c>
      <c r="I4" s="20">
        <f t="shared" si="0"/>
        <v>99.999999999999972</v>
      </c>
      <c r="J4" s="76">
        <f t="shared" si="0"/>
        <v>1480</v>
      </c>
      <c r="K4" s="20">
        <f t="shared" si="0"/>
        <v>100</v>
      </c>
      <c r="L4" s="76">
        <f t="shared" si="0"/>
        <v>2057</v>
      </c>
      <c r="M4" s="20">
        <f t="shared" si="0"/>
        <v>100.00000000000003</v>
      </c>
      <c r="N4" s="76">
        <f t="shared" si="0"/>
        <v>2733</v>
      </c>
      <c r="O4" s="20">
        <f t="shared" si="0"/>
        <v>100.00000000000007</v>
      </c>
    </row>
    <row r="5" spans="1:15" ht="17.45" customHeight="1">
      <c r="A5" s="46" t="s">
        <v>586</v>
      </c>
      <c r="B5" s="257">
        <f>SUM(D5,F5,H5,J5,L5,N5)</f>
        <v>1780</v>
      </c>
      <c r="C5" s="21">
        <f>IFERROR(B5/B$4*100,"-")</f>
        <v>21.918482945450069</v>
      </c>
      <c r="D5" s="177">
        <v>23</v>
      </c>
      <c r="E5" s="21">
        <f>IFERROR(D5/D$4*100,"-")</f>
        <v>11.386138613861387</v>
      </c>
      <c r="F5" s="177">
        <v>94</v>
      </c>
      <c r="G5" s="21">
        <f>IFERROR(F5/F$4*100,"-")</f>
        <v>16.179001721170398</v>
      </c>
      <c r="H5" s="177">
        <v>237</v>
      </c>
      <c r="I5" s="21">
        <f>IFERROR(H5/H$4*100,"-")</f>
        <v>22.191011235955056</v>
      </c>
      <c r="J5" s="177">
        <v>312</v>
      </c>
      <c r="K5" s="21">
        <f>IFERROR(J5/J$4*100,"-")</f>
        <v>21.081081081081081</v>
      </c>
      <c r="L5" s="177">
        <v>505</v>
      </c>
      <c r="M5" s="21">
        <f>IFERROR(L5/L$4*100,"-")</f>
        <v>24.550315994166262</v>
      </c>
      <c r="N5" s="177">
        <v>609</v>
      </c>
      <c r="O5" s="21">
        <f>IFERROR(N5/N$4*100,"-")</f>
        <v>22.283205268935234</v>
      </c>
    </row>
    <row r="6" spans="1:15" ht="17.45" customHeight="1">
      <c r="A6" s="46" t="s">
        <v>587</v>
      </c>
      <c r="B6" s="257">
        <f t="shared" ref="B6:B51" si="1">SUM(D6,F6,H6,J6,L6,N6)</f>
        <v>1256</v>
      </c>
      <c r="C6" s="21">
        <f t="shared" ref="C6:E21" si="2">IFERROR(B6/B$4*100,"-")</f>
        <v>15.466075606452407</v>
      </c>
      <c r="D6" s="177">
        <v>9</v>
      </c>
      <c r="E6" s="21">
        <f t="shared" si="2"/>
        <v>4.455445544554455</v>
      </c>
      <c r="F6" s="177">
        <v>33</v>
      </c>
      <c r="G6" s="21">
        <f t="shared" ref="G6:G51" si="3">IFERROR(F6/F$4*100,"-")</f>
        <v>5.6798623063683307</v>
      </c>
      <c r="H6" s="177">
        <v>112</v>
      </c>
      <c r="I6" s="21">
        <f t="shared" ref="I6:I51" si="4">IFERROR(H6/H$4*100,"-")</f>
        <v>10.486891385767791</v>
      </c>
      <c r="J6" s="177">
        <v>194</v>
      </c>
      <c r="K6" s="21">
        <f t="shared" ref="K6:M51" si="5">IFERROR(J6/J$4*100,"-")</f>
        <v>13.108108108108107</v>
      </c>
      <c r="L6" s="177">
        <v>347</v>
      </c>
      <c r="M6" s="21">
        <f t="shared" si="5"/>
        <v>16.869227029654837</v>
      </c>
      <c r="N6" s="177">
        <v>561</v>
      </c>
      <c r="O6" s="21">
        <f t="shared" ref="O6" si="6">IFERROR(N6/N$4*100,"-")</f>
        <v>20.526893523600439</v>
      </c>
    </row>
    <row r="7" spans="1:15" ht="17.45" customHeight="1">
      <c r="A7" s="46" t="s">
        <v>588</v>
      </c>
      <c r="B7" s="257">
        <f t="shared" si="1"/>
        <v>1008</v>
      </c>
      <c r="C7" s="21">
        <f t="shared" si="2"/>
        <v>12.412264499445881</v>
      </c>
      <c r="D7" s="177">
        <v>76</v>
      </c>
      <c r="E7" s="21">
        <f t="shared" si="2"/>
        <v>37.623762376237622</v>
      </c>
      <c r="F7" s="177">
        <v>147</v>
      </c>
      <c r="G7" s="21">
        <f t="shared" si="3"/>
        <v>25.301204819277107</v>
      </c>
      <c r="H7" s="177">
        <v>174</v>
      </c>
      <c r="I7" s="21">
        <f t="shared" si="4"/>
        <v>16.292134831460675</v>
      </c>
      <c r="J7" s="177">
        <v>205</v>
      </c>
      <c r="K7" s="21">
        <f t="shared" si="5"/>
        <v>13.851351351351351</v>
      </c>
      <c r="L7" s="177">
        <v>202</v>
      </c>
      <c r="M7" s="21">
        <f t="shared" si="5"/>
        <v>9.8201263976665043</v>
      </c>
      <c r="N7" s="177">
        <v>204</v>
      </c>
      <c r="O7" s="21">
        <f t="shared" ref="O7" si="7">IFERROR(N7/N$4*100,"-")</f>
        <v>7.4643249176728865</v>
      </c>
    </row>
    <row r="8" spans="1:15" ht="17.45" customHeight="1">
      <c r="A8" s="46" t="s">
        <v>819</v>
      </c>
      <c r="B8" s="257">
        <f t="shared" si="1"/>
        <v>952</v>
      </c>
      <c r="C8" s="21">
        <f t="shared" si="2"/>
        <v>11.722694249476666</v>
      </c>
      <c r="D8" s="177">
        <v>5</v>
      </c>
      <c r="E8" s="21">
        <f t="shared" si="2"/>
        <v>2.4752475247524752</v>
      </c>
      <c r="F8" s="177">
        <v>44</v>
      </c>
      <c r="G8" s="21">
        <f t="shared" si="3"/>
        <v>7.5731497418244409</v>
      </c>
      <c r="H8" s="177">
        <v>99</v>
      </c>
      <c r="I8" s="21">
        <f t="shared" si="4"/>
        <v>9.2696629213483153</v>
      </c>
      <c r="J8" s="177">
        <v>217</v>
      </c>
      <c r="K8" s="21">
        <f t="shared" si="5"/>
        <v>14.662162162162161</v>
      </c>
      <c r="L8" s="177">
        <v>254</v>
      </c>
      <c r="M8" s="21">
        <f t="shared" si="5"/>
        <v>12.348079727758872</v>
      </c>
      <c r="N8" s="177">
        <v>333</v>
      </c>
      <c r="O8" s="21">
        <f t="shared" ref="O8" si="8">IFERROR(N8/N$4*100,"-")</f>
        <v>12.184412733260155</v>
      </c>
    </row>
    <row r="9" spans="1:15" ht="17.45" customHeight="1">
      <c r="A9" s="46" t="s">
        <v>453</v>
      </c>
      <c r="B9" s="257">
        <f t="shared" si="1"/>
        <v>772</v>
      </c>
      <c r="C9" s="21">
        <f t="shared" si="2"/>
        <v>9.506218446004187</v>
      </c>
      <c r="D9" s="177">
        <v>42</v>
      </c>
      <c r="E9" s="21">
        <f t="shared" si="2"/>
        <v>20.792079207920793</v>
      </c>
      <c r="F9" s="177">
        <v>101</v>
      </c>
      <c r="G9" s="21">
        <f t="shared" si="3"/>
        <v>17.383820998278829</v>
      </c>
      <c r="H9" s="177">
        <v>149</v>
      </c>
      <c r="I9" s="21">
        <f t="shared" si="4"/>
        <v>13.951310861423222</v>
      </c>
      <c r="J9" s="177">
        <v>173</v>
      </c>
      <c r="K9" s="21">
        <f t="shared" si="5"/>
        <v>11.689189189189189</v>
      </c>
      <c r="L9" s="177">
        <v>153</v>
      </c>
      <c r="M9" s="21">
        <f t="shared" si="5"/>
        <v>7.4380165289256199</v>
      </c>
      <c r="N9" s="177">
        <v>154</v>
      </c>
      <c r="O9" s="21">
        <f t="shared" ref="O9" si="9">IFERROR(N9/N$4*100,"-")</f>
        <v>5.6348335162824732</v>
      </c>
    </row>
    <row r="10" spans="1:15" ht="17.45" customHeight="1">
      <c r="A10" s="46" t="s">
        <v>589</v>
      </c>
      <c r="B10" s="257">
        <f t="shared" si="1"/>
        <v>438</v>
      </c>
      <c r="C10" s="21">
        <f t="shared" si="2"/>
        <v>5.3934244551163646</v>
      </c>
      <c r="D10" s="177">
        <v>1</v>
      </c>
      <c r="E10" s="21">
        <f t="shared" si="2"/>
        <v>0.49504950495049505</v>
      </c>
      <c r="F10" s="177">
        <v>17</v>
      </c>
      <c r="G10" s="21">
        <f t="shared" si="3"/>
        <v>2.9259896729776247</v>
      </c>
      <c r="H10" s="177">
        <v>26</v>
      </c>
      <c r="I10" s="21">
        <f t="shared" si="4"/>
        <v>2.4344569288389515</v>
      </c>
      <c r="J10" s="177">
        <v>61</v>
      </c>
      <c r="K10" s="21">
        <f t="shared" si="5"/>
        <v>4.1216216216216219</v>
      </c>
      <c r="L10" s="177">
        <v>132</v>
      </c>
      <c r="M10" s="21">
        <f t="shared" si="5"/>
        <v>6.4171122994652414</v>
      </c>
      <c r="N10" s="177">
        <v>201</v>
      </c>
      <c r="O10" s="21">
        <f t="shared" ref="O10" si="10">IFERROR(N10/N$4*100,"-")</f>
        <v>7.3545554335894616</v>
      </c>
    </row>
    <row r="11" spans="1:15" ht="17.45" customHeight="1">
      <c r="A11" s="46" t="s">
        <v>590</v>
      </c>
      <c r="B11" s="257">
        <f t="shared" si="1"/>
        <v>374</v>
      </c>
      <c r="C11" s="21">
        <f t="shared" si="2"/>
        <v>4.6053441694372612</v>
      </c>
      <c r="D11" s="177">
        <v>7</v>
      </c>
      <c r="E11" s="21">
        <f t="shared" si="2"/>
        <v>3.4653465346534658</v>
      </c>
      <c r="F11" s="177">
        <v>29</v>
      </c>
      <c r="G11" s="21">
        <f t="shared" si="3"/>
        <v>4.9913941480206541</v>
      </c>
      <c r="H11" s="177">
        <v>49</v>
      </c>
      <c r="I11" s="21">
        <f t="shared" si="4"/>
        <v>4.5880149812734086</v>
      </c>
      <c r="J11" s="177">
        <v>60</v>
      </c>
      <c r="K11" s="21">
        <f t="shared" si="5"/>
        <v>4.0540540540540544</v>
      </c>
      <c r="L11" s="177">
        <v>82</v>
      </c>
      <c r="M11" s="21">
        <f t="shared" si="5"/>
        <v>3.9863879436071947</v>
      </c>
      <c r="N11" s="177">
        <v>147</v>
      </c>
      <c r="O11" s="21">
        <f t="shared" ref="O11" si="11">IFERROR(N11/N$4*100,"-")</f>
        <v>5.378704720087816</v>
      </c>
    </row>
    <row r="12" spans="1:15" ht="17.45" customHeight="1">
      <c r="A12" s="46" t="s">
        <v>820</v>
      </c>
      <c r="B12" s="257">
        <f t="shared" si="1"/>
        <v>305</v>
      </c>
      <c r="C12" s="21">
        <f t="shared" si="2"/>
        <v>3.7556951114394774</v>
      </c>
      <c r="D12" s="177">
        <v>11</v>
      </c>
      <c r="E12" s="21">
        <f t="shared" si="2"/>
        <v>5.4455445544554459</v>
      </c>
      <c r="F12" s="177">
        <v>54</v>
      </c>
      <c r="G12" s="21">
        <f t="shared" si="3"/>
        <v>9.2943201376936315</v>
      </c>
      <c r="H12" s="177">
        <v>72</v>
      </c>
      <c r="I12" s="21">
        <f t="shared" si="4"/>
        <v>6.7415730337078648</v>
      </c>
      <c r="J12" s="177">
        <v>58</v>
      </c>
      <c r="K12" s="21">
        <f t="shared" si="5"/>
        <v>3.9189189189189193</v>
      </c>
      <c r="L12" s="177">
        <v>58</v>
      </c>
      <c r="M12" s="21">
        <f t="shared" si="5"/>
        <v>2.8196402527953328</v>
      </c>
      <c r="N12" s="177">
        <v>52</v>
      </c>
      <c r="O12" s="21">
        <f t="shared" ref="O12" si="12">IFERROR(N12/N$4*100,"-")</f>
        <v>1.9026710574460302</v>
      </c>
    </row>
    <row r="13" spans="1:15" ht="17.45" customHeight="1">
      <c r="A13" s="46" t="s">
        <v>821</v>
      </c>
      <c r="B13" s="257">
        <f t="shared" si="1"/>
        <v>238</v>
      </c>
      <c r="C13" s="21">
        <f t="shared" si="2"/>
        <v>2.9306735623691664</v>
      </c>
      <c r="D13" s="177">
        <v>5</v>
      </c>
      <c r="E13" s="21">
        <f t="shared" si="2"/>
        <v>2.4752475247524752</v>
      </c>
      <c r="F13" s="177">
        <v>10</v>
      </c>
      <c r="G13" s="21">
        <f t="shared" si="3"/>
        <v>1.7211703958691909</v>
      </c>
      <c r="H13" s="177">
        <v>28</v>
      </c>
      <c r="I13" s="21">
        <f t="shared" si="4"/>
        <v>2.6217228464419478</v>
      </c>
      <c r="J13" s="177">
        <v>50</v>
      </c>
      <c r="K13" s="21">
        <f t="shared" si="5"/>
        <v>3.3783783783783785</v>
      </c>
      <c r="L13" s="177">
        <v>66</v>
      </c>
      <c r="M13" s="21">
        <f t="shared" si="5"/>
        <v>3.2085561497326207</v>
      </c>
      <c r="N13" s="177">
        <v>79</v>
      </c>
      <c r="O13" s="21">
        <f t="shared" ref="O13" si="13">IFERROR(N13/N$4*100,"-")</f>
        <v>2.8905964141968532</v>
      </c>
    </row>
    <row r="14" spans="1:15" ht="17.45" customHeight="1">
      <c r="A14" s="46" t="s">
        <v>452</v>
      </c>
      <c r="B14" s="257">
        <f t="shared" si="1"/>
        <v>197</v>
      </c>
      <c r="C14" s="21">
        <f t="shared" si="2"/>
        <v>2.4258096293559905</v>
      </c>
      <c r="D14" s="177">
        <v>1</v>
      </c>
      <c r="E14" s="21">
        <f t="shared" si="2"/>
        <v>0.49504950495049505</v>
      </c>
      <c r="F14" s="177">
        <v>3</v>
      </c>
      <c r="G14" s="21">
        <f t="shared" si="3"/>
        <v>0.51635111876075734</v>
      </c>
      <c r="H14" s="177">
        <v>27</v>
      </c>
      <c r="I14" s="21">
        <f t="shared" si="4"/>
        <v>2.5280898876404492</v>
      </c>
      <c r="J14" s="177">
        <v>25</v>
      </c>
      <c r="K14" s="21">
        <f t="shared" si="5"/>
        <v>1.6891891891891893</v>
      </c>
      <c r="L14" s="177">
        <v>54</v>
      </c>
      <c r="M14" s="21">
        <f t="shared" si="5"/>
        <v>2.6251823043266893</v>
      </c>
      <c r="N14" s="177">
        <v>87</v>
      </c>
      <c r="O14" s="21">
        <f t="shared" ref="O14" si="14">IFERROR(N14/N$4*100,"-")</f>
        <v>3.1833150384193196</v>
      </c>
    </row>
    <row r="15" spans="1:15" ht="17.45" customHeight="1">
      <c r="A15" s="46" t="s">
        <v>822</v>
      </c>
      <c r="B15" s="257">
        <f t="shared" si="1"/>
        <v>120</v>
      </c>
      <c r="C15" s="21">
        <f t="shared" si="2"/>
        <v>1.4776505356483192</v>
      </c>
      <c r="D15" s="177">
        <v>2</v>
      </c>
      <c r="E15" s="21">
        <f t="shared" si="2"/>
        <v>0.99009900990099009</v>
      </c>
      <c r="F15" s="177">
        <v>8</v>
      </c>
      <c r="G15" s="21">
        <f t="shared" si="3"/>
        <v>1.376936316695353</v>
      </c>
      <c r="H15" s="177">
        <v>19</v>
      </c>
      <c r="I15" s="21">
        <f t="shared" si="4"/>
        <v>1.7790262172284643</v>
      </c>
      <c r="J15" s="177">
        <v>19</v>
      </c>
      <c r="K15" s="21">
        <f t="shared" si="5"/>
        <v>1.2837837837837838</v>
      </c>
      <c r="L15" s="177">
        <v>44</v>
      </c>
      <c r="M15" s="21">
        <f t="shared" si="5"/>
        <v>2.1390374331550799</v>
      </c>
      <c r="N15" s="177">
        <v>28</v>
      </c>
      <c r="O15" s="21">
        <f t="shared" ref="O15" si="15">IFERROR(N15/N$4*100,"-")</f>
        <v>1.0245151847786316</v>
      </c>
    </row>
    <row r="16" spans="1:15" ht="17.45" customHeight="1">
      <c r="A16" s="46" t="s">
        <v>823</v>
      </c>
      <c r="B16" s="257">
        <f t="shared" si="1"/>
        <v>113</v>
      </c>
      <c r="C16" s="21">
        <f t="shared" si="2"/>
        <v>1.3914542544021671</v>
      </c>
      <c r="D16" s="177">
        <v>3</v>
      </c>
      <c r="E16" s="21">
        <f t="shared" si="2"/>
        <v>1.4851485148514851</v>
      </c>
      <c r="F16" s="177">
        <v>16</v>
      </c>
      <c r="G16" s="21">
        <f t="shared" si="3"/>
        <v>2.753872633390706</v>
      </c>
      <c r="H16" s="177">
        <v>18</v>
      </c>
      <c r="I16" s="21">
        <f t="shared" si="4"/>
        <v>1.6853932584269662</v>
      </c>
      <c r="J16" s="177">
        <v>24</v>
      </c>
      <c r="K16" s="21">
        <f t="shared" si="5"/>
        <v>1.6216216216216217</v>
      </c>
      <c r="L16" s="177">
        <v>22</v>
      </c>
      <c r="M16" s="21">
        <f t="shared" si="5"/>
        <v>1.0695187165775399</v>
      </c>
      <c r="N16" s="177">
        <v>30</v>
      </c>
      <c r="O16" s="21">
        <f t="shared" ref="O16" si="16">IFERROR(N16/N$4*100,"-")</f>
        <v>1.0976948408342482</v>
      </c>
    </row>
    <row r="17" spans="1:15" ht="17.45" customHeight="1">
      <c r="A17" s="46" t="s">
        <v>824</v>
      </c>
      <c r="B17" s="257">
        <f t="shared" si="1"/>
        <v>78</v>
      </c>
      <c r="C17" s="21">
        <f t="shared" si="2"/>
        <v>0.96047284817140743</v>
      </c>
      <c r="D17" s="27">
        <v>0</v>
      </c>
      <c r="E17" s="27">
        <f t="shared" si="2"/>
        <v>0</v>
      </c>
      <c r="F17" s="27">
        <v>0</v>
      </c>
      <c r="G17" s="27">
        <f t="shared" si="3"/>
        <v>0</v>
      </c>
      <c r="H17" s="177">
        <v>1</v>
      </c>
      <c r="I17" s="21">
        <f t="shared" si="4"/>
        <v>9.3632958801498134E-2</v>
      </c>
      <c r="J17" s="177">
        <v>14</v>
      </c>
      <c r="K17" s="21">
        <f t="shared" si="5"/>
        <v>0.94594594594594605</v>
      </c>
      <c r="L17" s="177">
        <v>21</v>
      </c>
      <c r="M17" s="21">
        <f t="shared" si="5"/>
        <v>1.0209042294603792</v>
      </c>
      <c r="N17" s="177">
        <v>42</v>
      </c>
      <c r="O17" s="21">
        <f t="shared" ref="O17" si="17">IFERROR(N17/N$4*100,"-")</f>
        <v>1.5367727771679474</v>
      </c>
    </row>
    <row r="18" spans="1:15" ht="17.45" customHeight="1">
      <c r="A18" s="46" t="s">
        <v>591</v>
      </c>
      <c r="B18" s="257">
        <f t="shared" si="1"/>
        <v>66</v>
      </c>
      <c r="C18" s="21">
        <f t="shared" si="2"/>
        <v>0.8127077946065755</v>
      </c>
      <c r="D18" s="177">
        <v>1</v>
      </c>
      <c r="E18" s="21">
        <f t="shared" si="2"/>
        <v>0.49504950495049505</v>
      </c>
      <c r="F18" s="177">
        <v>1</v>
      </c>
      <c r="G18" s="21">
        <f t="shared" si="3"/>
        <v>0.17211703958691912</v>
      </c>
      <c r="H18" s="177">
        <v>6</v>
      </c>
      <c r="I18" s="21">
        <f t="shared" si="4"/>
        <v>0.5617977528089888</v>
      </c>
      <c r="J18" s="177">
        <v>8</v>
      </c>
      <c r="K18" s="21">
        <f t="shared" si="5"/>
        <v>0.54054054054054057</v>
      </c>
      <c r="L18" s="177">
        <v>17</v>
      </c>
      <c r="M18" s="21">
        <f t="shared" si="5"/>
        <v>0.82644628099173556</v>
      </c>
      <c r="N18" s="177">
        <v>33</v>
      </c>
      <c r="O18" s="21">
        <f t="shared" ref="O18" si="18">IFERROR(N18/N$4*100,"-")</f>
        <v>1.2074643249176729</v>
      </c>
    </row>
    <row r="19" spans="1:15" ht="17.45" customHeight="1">
      <c r="A19" s="46" t="s">
        <v>592</v>
      </c>
      <c r="B19" s="257">
        <f t="shared" si="1"/>
        <v>41</v>
      </c>
      <c r="C19" s="21">
        <f t="shared" si="2"/>
        <v>0.50486393301317578</v>
      </c>
      <c r="D19" s="177">
        <v>1</v>
      </c>
      <c r="E19" s="21">
        <f t="shared" si="2"/>
        <v>0.49504950495049505</v>
      </c>
      <c r="F19" s="177">
        <v>2</v>
      </c>
      <c r="G19" s="21">
        <f t="shared" si="3"/>
        <v>0.34423407917383825</v>
      </c>
      <c r="H19" s="177">
        <v>3</v>
      </c>
      <c r="I19" s="21">
        <f t="shared" si="4"/>
        <v>0.2808988764044944</v>
      </c>
      <c r="J19" s="177">
        <v>6</v>
      </c>
      <c r="K19" s="21">
        <f t="shared" si="5"/>
        <v>0.40540540540540543</v>
      </c>
      <c r="L19" s="177">
        <v>9</v>
      </c>
      <c r="M19" s="21">
        <f t="shared" si="5"/>
        <v>0.43753038405444827</v>
      </c>
      <c r="N19" s="177">
        <v>20</v>
      </c>
      <c r="O19" s="21">
        <f t="shared" ref="O19" si="19">IFERROR(N19/N$4*100,"-")</f>
        <v>0.73179656055616538</v>
      </c>
    </row>
    <row r="20" spans="1:15" ht="17.45" customHeight="1">
      <c r="A20" s="46" t="s">
        <v>825</v>
      </c>
      <c r="B20" s="257">
        <f t="shared" si="1"/>
        <v>38</v>
      </c>
      <c r="C20" s="21">
        <f t="shared" si="2"/>
        <v>0.46792266962196771</v>
      </c>
      <c r="D20" s="177">
        <v>1</v>
      </c>
      <c r="E20" s="21">
        <f t="shared" si="2"/>
        <v>0.49504950495049505</v>
      </c>
      <c r="F20" s="177">
        <v>3</v>
      </c>
      <c r="G20" s="21">
        <f t="shared" si="3"/>
        <v>0.51635111876075734</v>
      </c>
      <c r="H20" s="177">
        <v>2</v>
      </c>
      <c r="I20" s="21">
        <f t="shared" si="4"/>
        <v>0.18726591760299627</v>
      </c>
      <c r="J20" s="177">
        <v>4</v>
      </c>
      <c r="K20" s="21">
        <f t="shared" si="5"/>
        <v>0.27027027027027029</v>
      </c>
      <c r="L20" s="177">
        <v>11</v>
      </c>
      <c r="M20" s="21">
        <f t="shared" si="5"/>
        <v>0.53475935828876997</v>
      </c>
      <c r="N20" s="177">
        <v>17</v>
      </c>
      <c r="O20" s="21">
        <f t="shared" ref="O20" si="20">IFERROR(N20/N$4*100,"-")</f>
        <v>0.62202707647274058</v>
      </c>
    </row>
    <row r="21" spans="1:15" ht="17.45" customHeight="1">
      <c r="A21" s="46" t="s">
        <v>826</v>
      </c>
      <c r="B21" s="257">
        <f t="shared" si="1"/>
        <v>35</v>
      </c>
      <c r="C21" s="21">
        <f t="shared" si="2"/>
        <v>0.43098140623075976</v>
      </c>
      <c r="D21" s="27">
        <v>0</v>
      </c>
      <c r="E21" s="27">
        <f t="shared" si="2"/>
        <v>0</v>
      </c>
      <c r="F21" s="27">
        <v>0</v>
      </c>
      <c r="G21" s="27">
        <f t="shared" si="3"/>
        <v>0</v>
      </c>
      <c r="H21" s="177">
        <v>1</v>
      </c>
      <c r="I21" s="21">
        <f t="shared" si="4"/>
        <v>9.3632958801498134E-2</v>
      </c>
      <c r="J21" s="177">
        <v>2</v>
      </c>
      <c r="K21" s="21">
        <f t="shared" si="5"/>
        <v>0.13513513513513514</v>
      </c>
      <c r="L21" s="177">
        <v>12</v>
      </c>
      <c r="M21" s="21">
        <f t="shared" si="5"/>
        <v>0.58337384540593096</v>
      </c>
      <c r="N21" s="177">
        <v>20</v>
      </c>
      <c r="O21" s="21">
        <f t="shared" ref="O21" si="21">IFERROR(N21/N$4*100,"-")</f>
        <v>0.73179656055616538</v>
      </c>
    </row>
    <row r="22" spans="1:15" ht="17.45" customHeight="1">
      <c r="A22" s="46" t="s">
        <v>728</v>
      </c>
      <c r="B22" s="257">
        <f t="shared" si="1"/>
        <v>34</v>
      </c>
      <c r="C22" s="21">
        <f t="shared" ref="C22:E37" si="22">IFERROR(B22/B$4*100,"-")</f>
        <v>0.41866765176702375</v>
      </c>
      <c r="D22" s="177">
        <v>2</v>
      </c>
      <c r="E22" s="21">
        <f t="shared" si="22"/>
        <v>0.99009900990099009</v>
      </c>
      <c r="F22" s="177">
        <v>5</v>
      </c>
      <c r="G22" s="21">
        <f t="shared" si="3"/>
        <v>0.86058519793459543</v>
      </c>
      <c r="H22" s="177">
        <v>8</v>
      </c>
      <c r="I22" s="21">
        <f t="shared" si="4"/>
        <v>0.74906367041198507</v>
      </c>
      <c r="J22" s="177">
        <v>4</v>
      </c>
      <c r="K22" s="21">
        <f t="shared" si="5"/>
        <v>0.27027027027027029</v>
      </c>
      <c r="L22" s="177">
        <v>5</v>
      </c>
      <c r="M22" s="21">
        <f t="shared" si="5"/>
        <v>0.24307243558580457</v>
      </c>
      <c r="N22" s="177">
        <v>10</v>
      </c>
      <c r="O22" s="21">
        <f t="shared" ref="O22" si="23">IFERROR(N22/N$4*100,"-")</f>
        <v>0.36589828027808269</v>
      </c>
    </row>
    <row r="23" spans="1:15" ht="17.45" customHeight="1">
      <c r="A23" s="46" t="s">
        <v>827</v>
      </c>
      <c r="B23" s="257">
        <f t="shared" si="1"/>
        <v>32</v>
      </c>
      <c r="C23" s="21">
        <f t="shared" si="22"/>
        <v>0.39404014283955174</v>
      </c>
      <c r="D23" s="177">
        <v>2</v>
      </c>
      <c r="E23" s="21">
        <f t="shared" si="22"/>
        <v>0.99009900990099009</v>
      </c>
      <c r="F23" s="27">
        <v>0</v>
      </c>
      <c r="G23" s="27">
        <f t="shared" si="3"/>
        <v>0</v>
      </c>
      <c r="H23" s="177">
        <v>8</v>
      </c>
      <c r="I23" s="21">
        <f t="shared" si="4"/>
        <v>0.74906367041198507</v>
      </c>
      <c r="J23" s="177">
        <v>6</v>
      </c>
      <c r="K23" s="21">
        <f t="shared" si="5"/>
        <v>0.40540540540540543</v>
      </c>
      <c r="L23" s="177">
        <v>7</v>
      </c>
      <c r="M23" s="21">
        <f t="shared" si="5"/>
        <v>0.34030140982012641</v>
      </c>
      <c r="N23" s="177">
        <v>9</v>
      </c>
      <c r="O23" s="21">
        <f t="shared" ref="O23" si="24">IFERROR(N23/N$4*100,"-")</f>
        <v>0.32930845225027439</v>
      </c>
    </row>
    <row r="24" spans="1:15" ht="17.45" customHeight="1">
      <c r="A24" s="46" t="s">
        <v>593</v>
      </c>
      <c r="B24" s="257">
        <f t="shared" si="1"/>
        <v>31</v>
      </c>
      <c r="C24" s="21">
        <f t="shared" si="22"/>
        <v>0.38172638837581579</v>
      </c>
      <c r="D24" s="27">
        <v>0</v>
      </c>
      <c r="E24" s="27">
        <f t="shared" si="22"/>
        <v>0</v>
      </c>
      <c r="F24" s="177">
        <v>3</v>
      </c>
      <c r="G24" s="21">
        <f t="shared" si="3"/>
        <v>0.51635111876075734</v>
      </c>
      <c r="H24" s="177">
        <v>4</v>
      </c>
      <c r="I24" s="21">
        <f t="shared" si="4"/>
        <v>0.37453183520599254</v>
      </c>
      <c r="J24" s="177">
        <v>5</v>
      </c>
      <c r="K24" s="21">
        <f t="shared" si="5"/>
        <v>0.33783783783783783</v>
      </c>
      <c r="L24" s="177">
        <v>6</v>
      </c>
      <c r="M24" s="21">
        <f t="shared" si="5"/>
        <v>0.29168692270296548</v>
      </c>
      <c r="N24" s="177">
        <v>13</v>
      </c>
      <c r="O24" s="21">
        <f t="shared" ref="O24" si="25">IFERROR(N24/N$4*100,"-")</f>
        <v>0.47566776436150754</v>
      </c>
    </row>
    <row r="25" spans="1:15" ht="17.45" customHeight="1">
      <c r="A25" s="46" t="s">
        <v>828</v>
      </c>
      <c r="B25" s="257">
        <f t="shared" si="1"/>
        <v>29</v>
      </c>
      <c r="C25" s="21">
        <f t="shared" si="22"/>
        <v>0.35709887944834379</v>
      </c>
      <c r="D25" s="27">
        <v>0</v>
      </c>
      <c r="E25" s="27">
        <f t="shared" si="22"/>
        <v>0</v>
      </c>
      <c r="F25" s="177">
        <v>1</v>
      </c>
      <c r="G25" s="21">
        <f t="shared" si="3"/>
        <v>0.17211703958691912</v>
      </c>
      <c r="H25" s="177">
        <v>1</v>
      </c>
      <c r="I25" s="21">
        <f t="shared" si="4"/>
        <v>9.3632958801498134E-2</v>
      </c>
      <c r="J25" s="177">
        <v>6</v>
      </c>
      <c r="K25" s="21">
        <f t="shared" si="5"/>
        <v>0.40540540540540543</v>
      </c>
      <c r="L25" s="177">
        <v>7</v>
      </c>
      <c r="M25" s="21">
        <f t="shared" si="5"/>
        <v>0.34030140982012641</v>
      </c>
      <c r="N25" s="177">
        <v>14</v>
      </c>
      <c r="O25" s="21">
        <f t="shared" ref="O25" si="26">IFERROR(N25/N$4*100,"-")</f>
        <v>0.51225759238931579</v>
      </c>
    </row>
    <row r="26" spans="1:15" ht="17.45" customHeight="1">
      <c r="A26" s="46" t="s">
        <v>829</v>
      </c>
      <c r="B26" s="257">
        <f t="shared" si="1"/>
        <v>27</v>
      </c>
      <c r="C26" s="21">
        <f t="shared" si="22"/>
        <v>0.33247137052087183</v>
      </c>
      <c r="D26" s="27">
        <v>0</v>
      </c>
      <c r="E26" s="27">
        <f t="shared" si="22"/>
        <v>0</v>
      </c>
      <c r="F26" s="27">
        <v>0</v>
      </c>
      <c r="G26" s="27">
        <f t="shared" si="3"/>
        <v>0</v>
      </c>
      <c r="H26" s="177">
        <v>2</v>
      </c>
      <c r="I26" s="21">
        <f t="shared" si="4"/>
        <v>0.18726591760299627</v>
      </c>
      <c r="J26" s="177">
        <v>2</v>
      </c>
      <c r="K26" s="21">
        <f t="shared" si="5"/>
        <v>0.13513513513513514</v>
      </c>
      <c r="L26" s="177">
        <v>12</v>
      </c>
      <c r="M26" s="21">
        <f t="shared" si="5"/>
        <v>0.58337384540593096</v>
      </c>
      <c r="N26" s="177">
        <v>11</v>
      </c>
      <c r="O26" s="21">
        <f t="shared" ref="O26" si="27">IFERROR(N26/N$4*100,"-")</f>
        <v>0.40248810830589099</v>
      </c>
    </row>
    <row r="27" spans="1:15" ht="17.45" customHeight="1">
      <c r="A27" s="46" t="s">
        <v>830</v>
      </c>
      <c r="B27" s="257">
        <f t="shared" si="1"/>
        <v>25</v>
      </c>
      <c r="C27" s="21">
        <f t="shared" si="22"/>
        <v>0.30784386159339983</v>
      </c>
      <c r="D27" s="177">
        <v>1</v>
      </c>
      <c r="E27" s="21">
        <f t="shared" si="22"/>
        <v>0.49504950495049505</v>
      </c>
      <c r="F27" s="177">
        <v>5</v>
      </c>
      <c r="G27" s="21">
        <f t="shared" si="3"/>
        <v>0.86058519793459543</v>
      </c>
      <c r="H27" s="177">
        <v>6</v>
      </c>
      <c r="I27" s="21">
        <f t="shared" si="4"/>
        <v>0.5617977528089888</v>
      </c>
      <c r="J27" s="177">
        <v>6</v>
      </c>
      <c r="K27" s="21">
        <f t="shared" si="5"/>
        <v>0.40540540540540543</v>
      </c>
      <c r="L27" s="177">
        <v>1</v>
      </c>
      <c r="M27" s="21">
        <f t="shared" si="5"/>
        <v>4.8614487117160911E-2</v>
      </c>
      <c r="N27" s="177">
        <v>6</v>
      </c>
      <c r="O27" s="21">
        <f t="shared" ref="O27" si="28">IFERROR(N27/N$4*100,"-")</f>
        <v>0.21953896816684962</v>
      </c>
    </row>
    <row r="28" spans="1:15" ht="17.45" customHeight="1">
      <c r="A28" s="46" t="s">
        <v>465</v>
      </c>
      <c r="B28" s="257">
        <f t="shared" si="1"/>
        <v>23</v>
      </c>
      <c r="C28" s="21">
        <f t="shared" si="22"/>
        <v>0.28321635266592782</v>
      </c>
      <c r="D28" s="177">
        <v>1</v>
      </c>
      <c r="E28" s="21">
        <f t="shared" si="22"/>
        <v>0.49504950495049505</v>
      </c>
      <c r="F28" s="177">
        <v>2</v>
      </c>
      <c r="G28" s="21">
        <f t="shared" si="3"/>
        <v>0.34423407917383825</v>
      </c>
      <c r="H28" s="177">
        <v>4</v>
      </c>
      <c r="I28" s="21">
        <f t="shared" si="4"/>
        <v>0.37453183520599254</v>
      </c>
      <c r="J28" s="177">
        <v>1</v>
      </c>
      <c r="K28" s="21">
        <f t="shared" si="5"/>
        <v>6.7567567567567571E-2</v>
      </c>
      <c r="L28" s="177">
        <v>7</v>
      </c>
      <c r="M28" s="21">
        <f t="shared" si="5"/>
        <v>0.34030140982012641</v>
      </c>
      <c r="N28" s="177">
        <v>8</v>
      </c>
      <c r="O28" s="21">
        <f t="shared" ref="O28" si="29">IFERROR(N28/N$4*100,"-")</f>
        <v>0.29271862422246614</v>
      </c>
    </row>
    <row r="29" spans="1:15" ht="17.45" customHeight="1">
      <c r="A29" s="46" t="s">
        <v>831</v>
      </c>
      <c r="B29" s="257">
        <f t="shared" si="1"/>
        <v>14</v>
      </c>
      <c r="C29" s="21">
        <f t="shared" si="22"/>
        <v>0.17239256249230389</v>
      </c>
      <c r="D29" s="27">
        <v>0</v>
      </c>
      <c r="E29" s="27">
        <f t="shared" si="22"/>
        <v>0</v>
      </c>
      <c r="F29" s="27">
        <v>0</v>
      </c>
      <c r="G29" s="27">
        <f t="shared" si="3"/>
        <v>0</v>
      </c>
      <c r="H29" s="177">
        <v>2</v>
      </c>
      <c r="I29" s="21">
        <f t="shared" si="4"/>
        <v>0.18726591760299627</v>
      </c>
      <c r="J29" s="177">
        <v>3</v>
      </c>
      <c r="K29" s="21">
        <f t="shared" si="5"/>
        <v>0.20270270270270271</v>
      </c>
      <c r="L29" s="177">
        <v>4</v>
      </c>
      <c r="M29" s="21">
        <f t="shared" si="5"/>
        <v>0.19445794846864364</v>
      </c>
      <c r="N29" s="177">
        <v>5</v>
      </c>
      <c r="O29" s="21">
        <f t="shared" ref="O29" si="30">IFERROR(N29/N$4*100,"-")</f>
        <v>0.18294914013904134</v>
      </c>
    </row>
    <row r="30" spans="1:15" ht="17.45" customHeight="1">
      <c r="A30" s="46" t="s">
        <v>800</v>
      </c>
      <c r="B30" s="257">
        <f t="shared" si="1"/>
        <v>13</v>
      </c>
      <c r="C30" s="21">
        <f t="shared" si="22"/>
        <v>0.16007880802856791</v>
      </c>
      <c r="D30" s="27">
        <v>0</v>
      </c>
      <c r="E30" s="27">
        <f t="shared" si="22"/>
        <v>0</v>
      </c>
      <c r="F30" s="177">
        <v>1</v>
      </c>
      <c r="G30" s="21">
        <f t="shared" si="3"/>
        <v>0.17211703958691912</v>
      </c>
      <c r="H30" s="177">
        <v>1</v>
      </c>
      <c r="I30" s="21">
        <f t="shared" si="4"/>
        <v>9.3632958801498134E-2</v>
      </c>
      <c r="J30" s="177">
        <v>2</v>
      </c>
      <c r="K30" s="21">
        <f t="shared" si="5"/>
        <v>0.13513513513513514</v>
      </c>
      <c r="L30" s="177">
        <v>4</v>
      </c>
      <c r="M30" s="21">
        <f t="shared" si="5"/>
        <v>0.19445794846864364</v>
      </c>
      <c r="N30" s="177">
        <v>5</v>
      </c>
      <c r="O30" s="21">
        <f t="shared" ref="O30" si="31">IFERROR(N30/N$4*100,"-")</f>
        <v>0.18294914013904134</v>
      </c>
    </row>
    <row r="31" spans="1:15" ht="17.45" customHeight="1">
      <c r="A31" s="46" t="s">
        <v>832</v>
      </c>
      <c r="B31" s="257">
        <f t="shared" si="1"/>
        <v>12</v>
      </c>
      <c r="C31" s="21">
        <f t="shared" si="22"/>
        <v>0.14776505356483191</v>
      </c>
      <c r="D31" s="177">
        <v>1</v>
      </c>
      <c r="E31" s="21">
        <f t="shared" si="22"/>
        <v>0.49504950495049505</v>
      </c>
      <c r="F31" s="27">
        <v>0</v>
      </c>
      <c r="G31" s="27">
        <f t="shared" si="3"/>
        <v>0</v>
      </c>
      <c r="H31" s="27">
        <v>0</v>
      </c>
      <c r="I31" s="27">
        <f t="shared" si="4"/>
        <v>0</v>
      </c>
      <c r="J31" s="177">
        <v>1</v>
      </c>
      <c r="K31" s="21">
        <f t="shared" si="5"/>
        <v>6.7567567567567571E-2</v>
      </c>
      <c r="L31" s="177">
        <v>3</v>
      </c>
      <c r="M31" s="21">
        <f t="shared" si="5"/>
        <v>0.14584346135148274</v>
      </c>
      <c r="N31" s="177">
        <v>7</v>
      </c>
      <c r="O31" s="21">
        <f t="shared" ref="O31" si="32">IFERROR(N31/N$4*100,"-")</f>
        <v>0.25612879619465789</v>
      </c>
    </row>
    <row r="32" spans="1:15" ht="17.45" customHeight="1">
      <c r="A32" s="46" t="s">
        <v>833</v>
      </c>
      <c r="B32" s="257">
        <f t="shared" si="1"/>
        <v>12</v>
      </c>
      <c r="C32" s="21">
        <f t="shared" si="22"/>
        <v>0.14776505356483191</v>
      </c>
      <c r="D32" s="177">
        <v>5</v>
      </c>
      <c r="E32" s="21">
        <f t="shared" si="22"/>
        <v>2.4752475247524752</v>
      </c>
      <c r="F32" s="27">
        <v>0</v>
      </c>
      <c r="G32" s="27">
        <f t="shared" si="3"/>
        <v>0</v>
      </c>
      <c r="H32" s="177">
        <v>3</v>
      </c>
      <c r="I32" s="21">
        <f t="shared" si="4"/>
        <v>0.2808988764044944</v>
      </c>
      <c r="J32" s="27">
        <v>0</v>
      </c>
      <c r="K32" s="27">
        <f t="shared" si="5"/>
        <v>0</v>
      </c>
      <c r="L32" s="27">
        <v>0</v>
      </c>
      <c r="M32" s="27">
        <f t="shared" si="5"/>
        <v>0</v>
      </c>
      <c r="N32" s="177">
        <v>4</v>
      </c>
      <c r="O32" s="21">
        <f t="shared" ref="O32" si="33">IFERROR(N32/N$4*100,"-")</f>
        <v>0.14635931211123307</v>
      </c>
    </row>
    <row r="33" spans="1:15" ht="17.45" customHeight="1">
      <c r="A33" s="46" t="s">
        <v>834</v>
      </c>
      <c r="B33" s="257">
        <f t="shared" si="1"/>
        <v>11</v>
      </c>
      <c r="C33" s="21">
        <f t="shared" si="22"/>
        <v>0.13545129910109593</v>
      </c>
      <c r="D33" s="177">
        <v>1</v>
      </c>
      <c r="E33" s="21">
        <f t="shared" si="22"/>
        <v>0.49504950495049505</v>
      </c>
      <c r="F33" s="27">
        <v>0</v>
      </c>
      <c r="G33" s="27">
        <f t="shared" si="3"/>
        <v>0</v>
      </c>
      <c r="H33" s="27">
        <v>0</v>
      </c>
      <c r="I33" s="27">
        <f t="shared" si="4"/>
        <v>0</v>
      </c>
      <c r="J33" s="177">
        <v>4</v>
      </c>
      <c r="K33" s="21">
        <f t="shared" si="5"/>
        <v>0.27027027027027029</v>
      </c>
      <c r="L33" s="177">
        <v>3</v>
      </c>
      <c r="M33" s="21">
        <f t="shared" si="5"/>
        <v>0.14584346135148274</v>
      </c>
      <c r="N33" s="177">
        <v>3</v>
      </c>
      <c r="O33" s="21">
        <f t="shared" ref="O33" si="34">IFERROR(N33/N$4*100,"-")</f>
        <v>0.10976948408342481</v>
      </c>
    </row>
    <row r="34" spans="1:15" ht="17.45" customHeight="1">
      <c r="A34" s="46" t="s">
        <v>835</v>
      </c>
      <c r="B34" s="257">
        <f t="shared" si="1"/>
        <v>8</v>
      </c>
      <c r="C34" s="21">
        <f t="shared" si="22"/>
        <v>9.8510035709887936E-2</v>
      </c>
      <c r="D34" s="177">
        <v>1</v>
      </c>
      <c r="E34" s="21">
        <f t="shared" si="22"/>
        <v>0.49504950495049505</v>
      </c>
      <c r="F34" s="27">
        <v>0</v>
      </c>
      <c r="G34" s="27">
        <f t="shared" si="3"/>
        <v>0</v>
      </c>
      <c r="H34" s="177">
        <v>2</v>
      </c>
      <c r="I34" s="21">
        <f t="shared" si="4"/>
        <v>0.18726591760299627</v>
      </c>
      <c r="J34" s="177">
        <v>1</v>
      </c>
      <c r="K34" s="21">
        <f t="shared" si="5"/>
        <v>6.7567567567567571E-2</v>
      </c>
      <c r="L34" s="177">
        <v>3</v>
      </c>
      <c r="M34" s="21">
        <f t="shared" si="5"/>
        <v>0.14584346135148274</v>
      </c>
      <c r="N34" s="177">
        <v>1</v>
      </c>
      <c r="O34" s="21">
        <f t="shared" ref="O34" si="35">IFERROR(N34/N$4*100,"-")</f>
        <v>3.6589828027808267E-2</v>
      </c>
    </row>
    <row r="35" spans="1:15" ht="17.45" customHeight="1">
      <c r="A35" s="46" t="s">
        <v>836</v>
      </c>
      <c r="B35" s="257">
        <f t="shared" si="1"/>
        <v>6</v>
      </c>
      <c r="C35" s="21">
        <f t="shared" si="22"/>
        <v>7.3882526782415955E-2</v>
      </c>
      <c r="D35" s="27">
        <v>0</v>
      </c>
      <c r="E35" s="27">
        <f t="shared" si="22"/>
        <v>0</v>
      </c>
      <c r="F35" s="27">
        <v>0</v>
      </c>
      <c r="G35" s="27">
        <f t="shared" si="3"/>
        <v>0</v>
      </c>
      <c r="H35" s="27">
        <v>0</v>
      </c>
      <c r="I35" s="27">
        <f t="shared" si="4"/>
        <v>0</v>
      </c>
      <c r="J35" s="177">
        <v>3</v>
      </c>
      <c r="K35" s="21">
        <f t="shared" si="5"/>
        <v>0.20270270270270271</v>
      </c>
      <c r="L35" s="27">
        <v>0</v>
      </c>
      <c r="M35" s="27">
        <f t="shared" si="5"/>
        <v>0</v>
      </c>
      <c r="N35" s="177">
        <v>3</v>
      </c>
      <c r="O35" s="21">
        <f t="shared" ref="O35" si="36">IFERROR(N35/N$4*100,"-")</f>
        <v>0.10976948408342481</v>
      </c>
    </row>
    <row r="36" spans="1:15" ht="17.45" customHeight="1">
      <c r="A36" s="46" t="s">
        <v>837</v>
      </c>
      <c r="B36" s="257">
        <f t="shared" si="1"/>
        <v>6</v>
      </c>
      <c r="C36" s="21">
        <f t="shared" si="22"/>
        <v>7.3882526782415955E-2</v>
      </c>
      <c r="D36" s="27">
        <v>0</v>
      </c>
      <c r="E36" s="27">
        <f t="shared" si="22"/>
        <v>0</v>
      </c>
      <c r="F36" s="27">
        <v>0</v>
      </c>
      <c r="G36" s="27">
        <f t="shared" si="3"/>
        <v>0</v>
      </c>
      <c r="H36" s="27">
        <v>0</v>
      </c>
      <c r="I36" s="27">
        <f t="shared" si="4"/>
        <v>0</v>
      </c>
      <c r="J36" s="177">
        <v>1</v>
      </c>
      <c r="K36" s="21">
        <f t="shared" si="5"/>
        <v>6.7567567567567571E-2</v>
      </c>
      <c r="L36" s="177">
        <v>1</v>
      </c>
      <c r="M36" s="21">
        <f t="shared" si="5"/>
        <v>4.8614487117160911E-2</v>
      </c>
      <c r="N36" s="177">
        <v>4</v>
      </c>
      <c r="O36" s="21">
        <f t="shared" ref="O36" si="37">IFERROR(N36/N$4*100,"-")</f>
        <v>0.14635931211123307</v>
      </c>
    </row>
    <row r="37" spans="1:15" ht="32.25" customHeight="1">
      <c r="A37" s="46" t="s">
        <v>838</v>
      </c>
      <c r="B37" s="257">
        <f t="shared" si="1"/>
        <v>5</v>
      </c>
      <c r="C37" s="21">
        <f t="shared" si="22"/>
        <v>6.1568772318679965E-2</v>
      </c>
      <c r="D37" s="27">
        <v>0</v>
      </c>
      <c r="E37" s="27">
        <f t="shared" si="22"/>
        <v>0</v>
      </c>
      <c r="F37" s="27">
        <v>0</v>
      </c>
      <c r="G37" s="27">
        <f t="shared" si="3"/>
        <v>0</v>
      </c>
      <c r="H37" s="177">
        <v>3</v>
      </c>
      <c r="I37" s="21">
        <f t="shared" si="4"/>
        <v>0.2808988764044944</v>
      </c>
      <c r="J37" s="27">
        <v>0</v>
      </c>
      <c r="K37" s="27">
        <f t="shared" si="5"/>
        <v>0</v>
      </c>
      <c r="L37" s="177">
        <v>1</v>
      </c>
      <c r="M37" s="21">
        <f t="shared" si="5"/>
        <v>4.8614487117160911E-2</v>
      </c>
      <c r="N37" s="177">
        <v>1</v>
      </c>
      <c r="O37" s="21">
        <f t="shared" ref="O37" si="38">IFERROR(N37/N$4*100,"-")</f>
        <v>3.6589828027808267E-2</v>
      </c>
    </row>
    <row r="38" spans="1:15" ht="17.45" customHeight="1">
      <c r="A38" s="46" t="s">
        <v>594</v>
      </c>
      <c r="B38" s="257">
        <f t="shared" si="1"/>
        <v>3</v>
      </c>
      <c r="C38" s="21">
        <f t="shared" ref="C38:E51" si="39">IFERROR(B38/B$4*100,"-")</f>
        <v>3.6941263391207978E-2</v>
      </c>
      <c r="D38" s="27">
        <v>0</v>
      </c>
      <c r="E38" s="27">
        <f t="shared" si="39"/>
        <v>0</v>
      </c>
      <c r="F38" s="177">
        <v>1</v>
      </c>
      <c r="G38" s="21">
        <f t="shared" si="3"/>
        <v>0.17211703958691912</v>
      </c>
      <c r="H38" s="27">
        <v>0</v>
      </c>
      <c r="I38" s="27">
        <f t="shared" si="4"/>
        <v>0</v>
      </c>
      <c r="J38" s="27">
        <v>0</v>
      </c>
      <c r="K38" s="27">
        <f t="shared" si="5"/>
        <v>0</v>
      </c>
      <c r="L38" s="27">
        <v>0</v>
      </c>
      <c r="M38" s="27">
        <f t="shared" si="5"/>
        <v>0</v>
      </c>
      <c r="N38" s="177">
        <v>2</v>
      </c>
      <c r="O38" s="21">
        <f t="shared" ref="O38" si="40">IFERROR(N38/N$4*100,"-")</f>
        <v>7.3179656055616535E-2</v>
      </c>
    </row>
    <row r="39" spans="1:15" ht="17.45" customHeight="1">
      <c r="A39" s="46" t="s">
        <v>839</v>
      </c>
      <c r="B39" s="257">
        <f t="shared" si="1"/>
        <v>3</v>
      </c>
      <c r="C39" s="21">
        <f t="shared" si="39"/>
        <v>3.6941263391207978E-2</v>
      </c>
      <c r="D39" s="27">
        <v>0</v>
      </c>
      <c r="E39" s="27">
        <f t="shared" si="39"/>
        <v>0</v>
      </c>
      <c r="F39" s="27">
        <v>0</v>
      </c>
      <c r="G39" s="27">
        <f t="shared" si="3"/>
        <v>0</v>
      </c>
      <c r="H39" s="177">
        <v>1</v>
      </c>
      <c r="I39" s="21">
        <f t="shared" si="4"/>
        <v>9.3632958801498134E-2</v>
      </c>
      <c r="J39" s="177">
        <v>2</v>
      </c>
      <c r="K39" s="21">
        <f t="shared" si="5"/>
        <v>0.13513513513513514</v>
      </c>
      <c r="L39" s="27">
        <v>0</v>
      </c>
      <c r="M39" s="27">
        <f t="shared" si="5"/>
        <v>0</v>
      </c>
      <c r="N39" s="27">
        <v>0</v>
      </c>
      <c r="O39" s="27">
        <f t="shared" ref="O39" si="41">IFERROR(N39/N$4*100,"-")</f>
        <v>0</v>
      </c>
    </row>
    <row r="40" spans="1:15" ht="17.45" customHeight="1">
      <c r="A40" s="46" t="s">
        <v>595</v>
      </c>
      <c r="B40" s="257">
        <f t="shared" si="1"/>
        <v>2</v>
      </c>
      <c r="C40" s="21">
        <f t="shared" si="39"/>
        <v>2.4627508927471984E-2</v>
      </c>
      <c r="D40" s="27">
        <v>0</v>
      </c>
      <c r="E40" s="27">
        <f t="shared" si="39"/>
        <v>0</v>
      </c>
      <c r="F40" s="27">
        <v>0</v>
      </c>
      <c r="G40" s="27">
        <f t="shared" si="3"/>
        <v>0</v>
      </c>
      <c r="H40" s="27">
        <v>0</v>
      </c>
      <c r="I40" s="27">
        <f t="shared" si="4"/>
        <v>0</v>
      </c>
      <c r="J40" s="27">
        <v>0</v>
      </c>
      <c r="K40" s="27">
        <f t="shared" si="5"/>
        <v>0</v>
      </c>
      <c r="L40" s="177">
        <v>1</v>
      </c>
      <c r="M40" s="21">
        <f t="shared" si="5"/>
        <v>4.8614487117160911E-2</v>
      </c>
      <c r="N40" s="177">
        <v>1</v>
      </c>
      <c r="O40" s="21">
        <f t="shared" ref="O40" si="42">IFERROR(N40/N$4*100,"-")</f>
        <v>3.6589828027808267E-2</v>
      </c>
    </row>
    <row r="41" spans="1:15" ht="17.45" customHeight="1">
      <c r="A41" s="46" t="s">
        <v>474</v>
      </c>
      <c r="B41" s="257">
        <f t="shared" si="1"/>
        <v>2</v>
      </c>
      <c r="C41" s="21">
        <f t="shared" si="39"/>
        <v>2.4627508927471984E-2</v>
      </c>
      <c r="D41" s="27">
        <v>0</v>
      </c>
      <c r="E41" s="27">
        <f t="shared" si="39"/>
        <v>0</v>
      </c>
      <c r="F41" s="27">
        <v>0</v>
      </c>
      <c r="G41" s="27">
        <f t="shared" si="3"/>
        <v>0</v>
      </c>
      <c r="H41" s="27">
        <v>0</v>
      </c>
      <c r="I41" s="27">
        <f t="shared" si="4"/>
        <v>0</v>
      </c>
      <c r="J41" s="27">
        <v>0</v>
      </c>
      <c r="K41" s="27">
        <f t="shared" si="5"/>
        <v>0</v>
      </c>
      <c r="L41" s="177">
        <v>1</v>
      </c>
      <c r="M41" s="21">
        <f t="shared" si="5"/>
        <v>4.8614487117160911E-2</v>
      </c>
      <c r="N41" s="177">
        <v>1</v>
      </c>
      <c r="O41" s="21">
        <f t="shared" ref="O41" si="43">IFERROR(N41/N$4*100,"-")</f>
        <v>3.6589828027808267E-2</v>
      </c>
    </row>
    <row r="42" spans="1:15" ht="17.45" customHeight="1">
      <c r="A42" s="46" t="s">
        <v>472</v>
      </c>
      <c r="B42" s="257">
        <f t="shared" si="1"/>
        <v>2</v>
      </c>
      <c r="C42" s="21">
        <f t="shared" si="39"/>
        <v>2.4627508927471984E-2</v>
      </c>
      <c r="D42" s="27">
        <v>0</v>
      </c>
      <c r="E42" s="27">
        <f t="shared" si="39"/>
        <v>0</v>
      </c>
      <c r="F42" s="27">
        <v>0</v>
      </c>
      <c r="G42" s="27">
        <f t="shared" si="3"/>
        <v>0</v>
      </c>
      <c r="H42" s="27">
        <v>0</v>
      </c>
      <c r="I42" s="27">
        <f t="shared" si="4"/>
        <v>0</v>
      </c>
      <c r="J42" s="27">
        <v>0</v>
      </c>
      <c r="K42" s="27">
        <f t="shared" si="5"/>
        <v>0</v>
      </c>
      <c r="L42" s="177">
        <v>1</v>
      </c>
      <c r="M42" s="21">
        <f t="shared" si="5"/>
        <v>4.8614487117160911E-2</v>
      </c>
      <c r="N42" s="177">
        <v>1</v>
      </c>
      <c r="O42" s="21">
        <f t="shared" ref="O42" si="44">IFERROR(N42/N$4*100,"-")</f>
        <v>3.6589828027808267E-2</v>
      </c>
    </row>
    <row r="43" spans="1:15" ht="17.45" customHeight="1">
      <c r="A43" s="46" t="s">
        <v>840</v>
      </c>
      <c r="B43" s="257">
        <f t="shared" si="1"/>
        <v>2</v>
      </c>
      <c r="C43" s="21">
        <f t="shared" si="39"/>
        <v>2.4627508927471984E-2</v>
      </c>
      <c r="D43" s="27">
        <v>0</v>
      </c>
      <c r="E43" s="27">
        <f t="shared" si="39"/>
        <v>0</v>
      </c>
      <c r="F43" s="177">
        <v>1</v>
      </c>
      <c r="G43" s="21">
        <f t="shared" si="3"/>
        <v>0.17211703958691912</v>
      </c>
      <c r="H43" s="27">
        <v>0</v>
      </c>
      <c r="I43" s="27">
        <f t="shared" si="4"/>
        <v>0</v>
      </c>
      <c r="J43" s="27">
        <v>0</v>
      </c>
      <c r="K43" s="27">
        <f t="shared" si="5"/>
        <v>0</v>
      </c>
      <c r="L43" s="27">
        <v>0</v>
      </c>
      <c r="M43" s="27">
        <f t="shared" si="5"/>
        <v>0</v>
      </c>
      <c r="N43" s="177">
        <v>1</v>
      </c>
      <c r="O43" s="21">
        <f t="shared" ref="O43" si="45">IFERROR(N43/N$4*100,"-")</f>
        <v>3.6589828027808267E-2</v>
      </c>
    </row>
    <row r="44" spans="1:15" ht="18.75" customHeight="1">
      <c r="A44" s="46" t="s">
        <v>841</v>
      </c>
      <c r="B44" s="257">
        <f t="shared" si="1"/>
        <v>1</v>
      </c>
      <c r="C44" s="21">
        <f t="shared" si="39"/>
        <v>1.2313754463735992E-2</v>
      </c>
      <c r="D44" s="27">
        <v>0</v>
      </c>
      <c r="E44" s="27">
        <f t="shared" si="39"/>
        <v>0</v>
      </c>
      <c r="F44" s="27">
        <v>0</v>
      </c>
      <c r="G44" s="27">
        <f t="shared" si="3"/>
        <v>0</v>
      </c>
      <c r="H44" s="27">
        <v>0</v>
      </c>
      <c r="I44" s="27">
        <f t="shared" si="4"/>
        <v>0</v>
      </c>
      <c r="J44" s="27">
        <v>0</v>
      </c>
      <c r="K44" s="27">
        <f t="shared" si="5"/>
        <v>0</v>
      </c>
      <c r="L44" s="27">
        <v>0</v>
      </c>
      <c r="M44" s="27">
        <f t="shared" si="5"/>
        <v>0</v>
      </c>
      <c r="N44" s="177">
        <v>1</v>
      </c>
      <c r="O44" s="21">
        <f t="shared" ref="O44" si="46">IFERROR(N44/N$4*100,"-")</f>
        <v>3.6589828027808267E-2</v>
      </c>
    </row>
    <row r="45" spans="1:15" s="255" customFormat="1" ht="18.75" customHeight="1">
      <c r="A45" s="46" t="s">
        <v>842</v>
      </c>
      <c r="B45" s="257">
        <f t="shared" si="1"/>
        <v>1</v>
      </c>
      <c r="C45" s="21">
        <f t="shared" si="39"/>
        <v>1.2313754463735992E-2</v>
      </c>
      <c r="D45" s="27">
        <v>0</v>
      </c>
      <c r="E45" s="27">
        <f t="shared" si="39"/>
        <v>0</v>
      </c>
      <c r="F45" s="27">
        <v>0</v>
      </c>
      <c r="G45" s="27">
        <f t="shared" si="3"/>
        <v>0</v>
      </c>
      <c r="H45" s="27">
        <v>0</v>
      </c>
      <c r="I45" s="27">
        <f t="shared" si="4"/>
        <v>0</v>
      </c>
      <c r="J45" s="27">
        <v>0</v>
      </c>
      <c r="K45" s="27">
        <f t="shared" si="5"/>
        <v>0</v>
      </c>
      <c r="L45" s="27">
        <v>0</v>
      </c>
      <c r="M45" s="27">
        <f t="shared" si="5"/>
        <v>0</v>
      </c>
      <c r="N45" s="177">
        <v>1</v>
      </c>
      <c r="O45" s="21">
        <f t="shared" ref="O45" si="47">IFERROR(N45/N$4*100,"-")</f>
        <v>3.6589828027808267E-2</v>
      </c>
    </row>
    <row r="46" spans="1:15" s="255" customFormat="1" ht="18.75" customHeight="1">
      <c r="A46" s="46" t="s">
        <v>843</v>
      </c>
      <c r="B46" s="257">
        <f t="shared" si="1"/>
        <v>1</v>
      </c>
      <c r="C46" s="21">
        <f t="shared" si="39"/>
        <v>1.2313754463735992E-2</v>
      </c>
      <c r="D46" s="27">
        <v>0</v>
      </c>
      <c r="E46" s="27">
        <f t="shared" si="39"/>
        <v>0</v>
      </c>
      <c r="F46" s="27">
        <v>0</v>
      </c>
      <c r="G46" s="27">
        <f t="shared" si="3"/>
        <v>0</v>
      </c>
      <c r="H46" s="27">
        <v>0</v>
      </c>
      <c r="I46" s="27">
        <f t="shared" si="4"/>
        <v>0</v>
      </c>
      <c r="J46" s="27">
        <v>0</v>
      </c>
      <c r="K46" s="27">
        <f t="shared" si="5"/>
        <v>0</v>
      </c>
      <c r="L46" s="27">
        <v>0</v>
      </c>
      <c r="M46" s="27">
        <f t="shared" si="5"/>
        <v>0</v>
      </c>
      <c r="N46" s="177">
        <v>1</v>
      </c>
      <c r="O46" s="21">
        <f t="shared" ref="O46" si="48">IFERROR(N46/N$4*100,"-")</f>
        <v>3.6589828027808267E-2</v>
      </c>
    </row>
    <row r="47" spans="1:15" s="255" customFormat="1" ht="18.75" customHeight="1">
      <c r="A47" s="46" t="s">
        <v>844</v>
      </c>
      <c r="B47" s="257">
        <f t="shared" si="1"/>
        <v>1</v>
      </c>
      <c r="C47" s="21">
        <f t="shared" si="39"/>
        <v>1.2313754463735992E-2</v>
      </c>
      <c r="D47" s="27">
        <v>0</v>
      </c>
      <c r="E47" s="27">
        <f t="shared" si="39"/>
        <v>0</v>
      </c>
      <c r="F47" s="27">
        <v>0</v>
      </c>
      <c r="G47" s="27">
        <f t="shared" si="3"/>
        <v>0</v>
      </c>
      <c r="H47" s="27">
        <v>0</v>
      </c>
      <c r="I47" s="27">
        <f t="shared" si="4"/>
        <v>0</v>
      </c>
      <c r="J47" s="177">
        <v>1</v>
      </c>
      <c r="K47" s="21">
        <f t="shared" si="5"/>
        <v>6.7567567567567571E-2</v>
      </c>
      <c r="L47" s="27">
        <v>0</v>
      </c>
      <c r="M47" s="27">
        <f t="shared" si="5"/>
        <v>0</v>
      </c>
      <c r="N47" s="27">
        <v>0</v>
      </c>
      <c r="O47" s="27">
        <f t="shared" ref="O47" si="49">IFERROR(N47/N$4*100,"-")</f>
        <v>0</v>
      </c>
    </row>
    <row r="48" spans="1:15" s="255" customFormat="1" ht="18.75" customHeight="1">
      <c r="A48" s="46" t="s">
        <v>845</v>
      </c>
      <c r="B48" s="257">
        <f t="shared" si="1"/>
        <v>1</v>
      </c>
      <c r="C48" s="21">
        <f t="shared" si="39"/>
        <v>1.2313754463735992E-2</v>
      </c>
      <c r="D48" s="27">
        <v>0</v>
      </c>
      <c r="E48" s="27">
        <f t="shared" si="39"/>
        <v>0</v>
      </c>
      <c r="F48" s="27">
        <v>0</v>
      </c>
      <c r="G48" s="27">
        <f t="shared" si="3"/>
        <v>0</v>
      </c>
      <c r="H48" s="27">
        <v>0</v>
      </c>
      <c r="I48" s="27">
        <f t="shared" si="4"/>
        <v>0</v>
      </c>
      <c r="J48" s="27">
        <v>0</v>
      </c>
      <c r="K48" s="27">
        <f t="shared" si="5"/>
        <v>0</v>
      </c>
      <c r="L48" s="27">
        <v>0</v>
      </c>
      <c r="M48" s="27">
        <f t="shared" si="5"/>
        <v>0</v>
      </c>
      <c r="N48" s="177">
        <v>1</v>
      </c>
      <c r="O48" s="21">
        <f t="shared" ref="O48" si="50">IFERROR(N48/N$4*100,"-")</f>
        <v>3.6589828027808267E-2</v>
      </c>
    </row>
    <row r="49" spans="1:15" s="255" customFormat="1" ht="18.75" customHeight="1">
      <c r="A49" s="46" t="s">
        <v>486</v>
      </c>
      <c r="B49" s="257">
        <f t="shared" si="1"/>
        <v>1</v>
      </c>
      <c r="C49" s="21">
        <f t="shared" si="39"/>
        <v>1.2313754463735992E-2</v>
      </c>
      <c r="D49" s="27">
        <v>0</v>
      </c>
      <c r="E49" s="27">
        <f t="shared" si="39"/>
        <v>0</v>
      </c>
      <c r="F49" s="27">
        <v>0</v>
      </c>
      <c r="G49" s="27">
        <f t="shared" si="3"/>
        <v>0</v>
      </c>
      <c r="H49" s="27">
        <v>0</v>
      </c>
      <c r="I49" s="27">
        <f t="shared" si="4"/>
        <v>0</v>
      </c>
      <c r="J49" s="27">
        <v>0</v>
      </c>
      <c r="K49" s="27">
        <f t="shared" si="5"/>
        <v>0</v>
      </c>
      <c r="L49" s="27">
        <v>0</v>
      </c>
      <c r="M49" s="27">
        <f t="shared" si="5"/>
        <v>0</v>
      </c>
      <c r="N49" s="177">
        <v>1</v>
      </c>
      <c r="O49" s="21">
        <f t="shared" ref="O49" si="51">IFERROR(N49/N$4*100,"-")</f>
        <v>3.6589828027808267E-2</v>
      </c>
    </row>
    <row r="50" spans="1:15" s="255" customFormat="1" ht="18.75" customHeight="1">
      <c r="A50" s="46" t="s">
        <v>487</v>
      </c>
      <c r="B50" s="257">
        <f t="shared" si="1"/>
        <v>1</v>
      </c>
      <c r="C50" s="21">
        <f t="shared" si="39"/>
        <v>1.2313754463735992E-2</v>
      </c>
      <c r="D50" s="27">
        <v>0</v>
      </c>
      <c r="E50" s="27">
        <f t="shared" si="39"/>
        <v>0</v>
      </c>
      <c r="F50" s="27">
        <v>0</v>
      </c>
      <c r="G50" s="27">
        <f t="shared" si="3"/>
        <v>0</v>
      </c>
      <c r="H50" s="27">
        <v>0</v>
      </c>
      <c r="I50" s="27">
        <f t="shared" si="4"/>
        <v>0</v>
      </c>
      <c r="J50" s="27">
        <v>0</v>
      </c>
      <c r="K50" s="27">
        <f t="shared" si="5"/>
        <v>0</v>
      </c>
      <c r="L50" s="27">
        <v>0</v>
      </c>
      <c r="M50" s="27">
        <f t="shared" si="5"/>
        <v>0</v>
      </c>
      <c r="N50" s="177">
        <v>1</v>
      </c>
      <c r="O50" s="21">
        <f t="shared" ref="O50" si="52">IFERROR(N50/N$4*100,"-")</f>
        <v>3.6589828027808267E-2</v>
      </c>
    </row>
    <row r="51" spans="1:15" ht="19.5" customHeight="1">
      <c r="A51" s="46" t="s">
        <v>846</v>
      </c>
      <c r="B51" s="28">
        <f t="shared" si="1"/>
        <v>1</v>
      </c>
      <c r="C51" s="22">
        <f t="shared" si="39"/>
        <v>1.2313754463735992E-2</v>
      </c>
      <c r="D51" s="28">
        <v>0</v>
      </c>
      <c r="E51" s="28">
        <f t="shared" si="39"/>
        <v>0</v>
      </c>
      <c r="F51" s="28">
        <v>0</v>
      </c>
      <c r="G51" s="28">
        <f t="shared" si="3"/>
        <v>0</v>
      </c>
      <c r="H51" s="28">
        <v>0</v>
      </c>
      <c r="I51" s="28">
        <f t="shared" si="4"/>
        <v>0</v>
      </c>
      <c r="J51" s="28">
        <v>0</v>
      </c>
      <c r="K51" s="28">
        <f t="shared" si="5"/>
        <v>0</v>
      </c>
      <c r="L51" s="178">
        <v>1</v>
      </c>
      <c r="M51" s="22">
        <f t="shared" si="5"/>
        <v>4.8614487117160911E-2</v>
      </c>
      <c r="N51" s="28">
        <v>0</v>
      </c>
      <c r="O51" s="28">
        <f t="shared" ref="O51" si="53">IFERROR(N51/N$4*100,"-")</f>
        <v>0</v>
      </c>
    </row>
    <row r="52" spans="1:15" ht="18" customHeight="1">
      <c r="A52" s="376" t="s">
        <v>608</v>
      </c>
      <c r="B52" s="377"/>
      <c r="C52" s="377"/>
      <c r="D52" s="377"/>
      <c r="E52" s="21"/>
      <c r="F52" s="27"/>
      <c r="G52" s="21"/>
      <c r="H52" s="27"/>
      <c r="I52" s="21"/>
      <c r="J52" s="27"/>
      <c r="K52" s="21"/>
      <c r="L52" s="27"/>
      <c r="M52" s="21"/>
      <c r="N52" s="27"/>
      <c r="O52" s="21"/>
    </row>
    <row r="53" spans="1:15" ht="48" customHeight="1">
      <c r="A53" s="370" t="s">
        <v>610</v>
      </c>
      <c r="B53" s="370"/>
      <c r="C53" s="370"/>
      <c r="D53" s="370"/>
      <c r="E53" s="370"/>
      <c r="F53" s="370"/>
      <c r="G53" s="370"/>
      <c r="H53" s="370"/>
      <c r="I53" s="370"/>
      <c r="J53" s="370"/>
      <c r="K53" s="370"/>
    </row>
  </sheetData>
  <mergeCells count="11">
    <mergeCell ref="A52:D52"/>
    <mergeCell ref="A53:K53"/>
    <mergeCell ref="A1:O1"/>
    <mergeCell ref="A2:A3"/>
    <mergeCell ref="B2:C2"/>
    <mergeCell ref="D2:E2"/>
    <mergeCell ref="F2:G2"/>
    <mergeCell ref="H2:I2"/>
    <mergeCell ref="J2:K2"/>
    <mergeCell ref="L2:M2"/>
    <mergeCell ref="N2:O2"/>
  </mergeCells>
  <phoneticPr fontId="5" type="noConversion"/>
  <printOptions horizontalCentered="1" verticalCentered="1"/>
  <pageMargins left="0.74803149606299213" right="0.74803149606299213" top="0.74803149606299213" bottom="0.74803149606299213" header="0.51181102362204722" footer="0.51181102362204722"/>
  <pageSetup paperSize="11" scale="55" orientation="landscape" r:id="rId1"/>
  <headerFooter differentOddEven="1" scaleWithDoc="0">
    <oddHeader>&amp;L&amp;"Times New Roman,標準"&amp;8 &amp;K01+000107&amp;"標楷體,標準"年犯罪狀況及其分析</oddHeader>
    <evenHeader>&amp;R&amp;"標楷體,標準"&amp;8&amp;K01+000第三篇　少年事件之狀況與處理</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41</vt:i4>
      </vt:variant>
      <vt:variant>
        <vt:lpstr>已命名的範圍</vt:lpstr>
      </vt:variant>
      <vt:variant>
        <vt:i4>41</vt:i4>
      </vt:variant>
    </vt:vector>
  </HeadingPairs>
  <TitlesOfParts>
    <vt:vector size="82" baseType="lpstr">
      <vt:lpstr>3-1-1</vt:lpstr>
      <vt:lpstr>3-1-2</vt:lpstr>
      <vt:lpstr>3-2-1</vt:lpstr>
      <vt:lpstr>3-2-2</vt:lpstr>
      <vt:lpstr>3-2-3</vt:lpstr>
      <vt:lpstr>3-2-4</vt:lpstr>
      <vt:lpstr>3-2-5</vt:lpstr>
      <vt:lpstr>3-2-6</vt:lpstr>
      <vt:lpstr>3-2-7</vt:lpstr>
      <vt:lpstr>3-2-8</vt:lpstr>
      <vt:lpstr>3-2-9</vt:lpstr>
      <vt:lpstr>3-2-10</vt:lpstr>
      <vt:lpstr>3-2-11</vt:lpstr>
      <vt:lpstr>3-2-12</vt:lpstr>
      <vt:lpstr>3-2-13</vt:lpstr>
      <vt:lpstr>3-2-14</vt:lpstr>
      <vt:lpstr>3-2-15</vt:lpstr>
      <vt:lpstr>3-2-16</vt:lpstr>
      <vt:lpstr>3-2-17</vt:lpstr>
      <vt:lpstr>3-2-18</vt:lpstr>
      <vt:lpstr>3-2-19</vt:lpstr>
      <vt:lpstr>3-2-20</vt:lpstr>
      <vt:lpstr>3-2-21</vt:lpstr>
      <vt:lpstr>3-2-22</vt:lpstr>
      <vt:lpstr>3-2-23</vt:lpstr>
      <vt:lpstr>3-2-24</vt:lpstr>
      <vt:lpstr>3-2-25</vt:lpstr>
      <vt:lpstr>3-2-26</vt:lpstr>
      <vt:lpstr>3-2-27</vt:lpstr>
      <vt:lpstr>3-3-1</vt:lpstr>
      <vt:lpstr>3-3-2</vt:lpstr>
      <vt:lpstr>3-3-3</vt:lpstr>
      <vt:lpstr>3-3-4</vt:lpstr>
      <vt:lpstr>3-3-5</vt:lpstr>
      <vt:lpstr>3-3-6</vt:lpstr>
      <vt:lpstr>3-3-7</vt:lpstr>
      <vt:lpstr>3-3-8</vt:lpstr>
      <vt:lpstr>3-3-9</vt:lpstr>
      <vt:lpstr>3-3-10</vt:lpstr>
      <vt:lpstr>3-3-11</vt:lpstr>
      <vt:lpstr>3-3-12</vt:lpstr>
      <vt:lpstr>'3-1-1'!Print_Area</vt:lpstr>
      <vt:lpstr>'3-1-2'!Print_Area</vt:lpstr>
      <vt:lpstr>'3-2-1'!Print_Area</vt:lpstr>
      <vt:lpstr>'3-2-10'!Print_Area</vt:lpstr>
      <vt:lpstr>'3-2-11'!Print_Area</vt:lpstr>
      <vt:lpstr>'3-2-12'!Print_Area</vt:lpstr>
      <vt:lpstr>'3-2-13'!Print_Area</vt:lpstr>
      <vt:lpstr>'3-2-14'!Print_Area</vt:lpstr>
      <vt:lpstr>'3-2-15'!Print_Area</vt:lpstr>
      <vt:lpstr>'3-2-16'!Print_Area</vt:lpstr>
      <vt:lpstr>'3-2-17'!Print_Area</vt:lpstr>
      <vt:lpstr>'3-2-18'!Print_Area</vt:lpstr>
      <vt:lpstr>'3-2-19'!Print_Area</vt:lpstr>
      <vt:lpstr>'3-2-2'!Print_Area</vt:lpstr>
      <vt:lpstr>'3-2-20'!Print_Area</vt:lpstr>
      <vt:lpstr>'3-2-21'!Print_Area</vt:lpstr>
      <vt:lpstr>'3-2-22'!Print_Area</vt:lpstr>
      <vt:lpstr>'3-2-23'!Print_Area</vt:lpstr>
      <vt:lpstr>'3-2-24'!Print_Area</vt:lpstr>
      <vt:lpstr>'3-2-25'!Print_Area</vt:lpstr>
      <vt:lpstr>'3-2-26'!Print_Area</vt:lpstr>
      <vt:lpstr>'3-2-27'!Print_Area</vt:lpstr>
      <vt:lpstr>'3-2-3'!Print_Area</vt:lpstr>
      <vt:lpstr>'3-2-4'!Print_Area</vt:lpstr>
      <vt:lpstr>'3-2-5'!Print_Area</vt:lpstr>
      <vt:lpstr>'3-2-6'!Print_Area</vt:lpstr>
      <vt:lpstr>'3-2-7'!Print_Area</vt:lpstr>
      <vt:lpstr>'3-2-8'!Print_Area</vt:lpstr>
      <vt:lpstr>'3-2-9'!Print_Area</vt:lpstr>
      <vt:lpstr>'3-3-1'!Print_Area</vt:lpstr>
      <vt:lpstr>'3-3-10'!Print_Area</vt:lpstr>
      <vt:lpstr>'3-3-11'!Print_Area</vt:lpstr>
      <vt:lpstr>'3-3-12'!Print_Area</vt:lpstr>
      <vt:lpstr>'3-3-2'!Print_Area</vt:lpstr>
      <vt:lpstr>'3-3-3'!Print_Area</vt:lpstr>
      <vt:lpstr>'3-3-4'!Print_Area</vt:lpstr>
      <vt:lpstr>'3-3-5'!Print_Area</vt:lpstr>
      <vt:lpstr>'3-3-6'!Print_Area</vt:lpstr>
      <vt:lpstr>'3-3-7'!Print_Area</vt:lpstr>
      <vt:lpstr>'3-3-8'!Print_Area</vt:lpstr>
      <vt:lpstr>'3-3-9'!Print_Area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蔡宜家</dc:creator>
  <cp:lastModifiedBy>蔡宜家</cp:lastModifiedBy>
  <cp:lastPrinted>2021-07-08T04:13:51Z</cp:lastPrinted>
  <dcterms:created xsi:type="dcterms:W3CDTF">2021-07-07T02:57:18Z</dcterms:created>
  <dcterms:modified xsi:type="dcterms:W3CDTF">2022-12-06T12:43:09Z</dcterms:modified>
</cp:coreProperties>
</file>