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saichia\Desktop\進撃の副研究員\犯罪狀況及其分析\112年犯罪狀況及其分析\定稿\"/>
    </mc:Choice>
  </mc:AlternateContent>
  <bookViews>
    <workbookView xWindow="0" yWindow="0" windowWidth="14175" windowHeight="12030" tabRatio="823"/>
  </bookViews>
  <sheets>
    <sheet name="本篇表次" sheetId="44" r:id="rId1"/>
    <sheet name="本篇表次對應少年事件程序圖" sheetId="45" r:id="rId2"/>
    <sheet name="3-1-1" sheetId="41" r:id="rId3"/>
    <sheet name="3-1-2" sheetId="47" r:id="rId4"/>
    <sheet name="3-1-3" sheetId="48" r:id="rId5"/>
    <sheet name="3-2-1" sheetId="1" r:id="rId6"/>
    <sheet name="3-2-2" sheetId="2" r:id="rId7"/>
    <sheet name="3-2-3" sheetId="3" r:id="rId8"/>
    <sheet name="3-2-4" sheetId="5" r:id="rId9"/>
    <sheet name="3-2-5" sheetId="4" r:id="rId10"/>
    <sheet name="3-2-6" sheetId="6" r:id="rId11"/>
    <sheet name="3-2-7 " sheetId="46" r:id="rId12"/>
    <sheet name="3-2-8" sheetId="8" r:id="rId13"/>
    <sheet name="3-2-9" sheetId="9" r:id="rId14"/>
    <sheet name="3-2-10" sheetId="10" r:id="rId15"/>
    <sheet name="3-2-11" sheetId="11" r:id="rId16"/>
    <sheet name="3-2-12" sheetId="12" r:id="rId17"/>
    <sheet name="3-2-13" sheetId="13" r:id="rId18"/>
    <sheet name="3-2-14" sheetId="14" r:id="rId19"/>
    <sheet name="3-2-15" sheetId="18" r:id="rId20"/>
    <sheet name="3-2-16" sheetId="16" r:id="rId21"/>
    <sheet name="3-2-17" sheetId="15" r:id="rId22"/>
    <sheet name="3-2-18" sheetId="19" r:id="rId23"/>
    <sheet name="3-2-19" sheetId="20" r:id="rId24"/>
    <sheet name="3-2-20" sheetId="21" r:id="rId25"/>
    <sheet name="3-2-21" sheetId="23" r:id="rId26"/>
    <sheet name="3-2-22" sheetId="22" r:id="rId27"/>
    <sheet name="3-2-23" sheetId="43" r:id="rId28"/>
    <sheet name="3-2-24" sheetId="25" r:id="rId29"/>
    <sheet name="3-2-25" sheetId="26" r:id="rId30"/>
    <sheet name="3-2-26" sheetId="27" r:id="rId31"/>
    <sheet name="3-2-27" sheetId="28" r:id="rId32"/>
    <sheet name="3-3-1" sheetId="29" r:id="rId33"/>
    <sheet name="3-3-2" sheetId="30" r:id="rId34"/>
    <sheet name="3-3-3" sheetId="31" r:id="rId35"/>
    <sheet name="3-3-4" sheetId="32" r:id="rId36"/>
    <sheet name="3-3-5" sheetId="33" r:id="rId37"/>
    <sheet name="3-3-6" sheetId="34" r:id="rId38"/>
    <sheet name="3-3-7" sheetId="35" r:id="rId39"/>
    <sheet name="3-3-8" sheetId="36" r:id="rId40"/>
    <sheet name="3-3-9" sheetId="37" r:id="rId41"/>
    <sheet name="3-3-10" sheetId="38" r:id="rId42"/>
    <sheet name="3-3-11" sheetId="39" r:id="rId43"/>
    <sheet name="3-3-12" sheetId="40" r:id="rId44"/>
  </sheets>
  <definedNames>
    <definedName name="_xlnm.Print_Area" localSheetId="2">'3-1-1'!$A$1:$G$16</definedName>
    <definedName name="_xlnm.Print_Area" localSheetId="3">'3-1-2'!$A$1:$U$53</definedName>
    <definedName name="_xlnm.Print_Area" localSheetId="4">'3-1-3'!$A$1:$G$8</definedName>
    <definedName name="_xlnm.Print_Area" localSheetId="5">'3-2-1'!$A$1:$G$29</definedName>
    <definedName name="_xlnm.Print_Area" localSheetId="14">'3-2-10'!$A$1:$K$23</definedName>
    <definedName name="_xlnm.Print_Area" localSheetId="15">'3-2-11'!$A$1:$K$19</definedName>
    <definedName name="_xlnm.Print_Area" localSheetId="16">'3-2-12'!$A$1:$K$23</definedName>
    <definedName name="_xlnm.Print_Area" localSheetId="17">'3-2-13'!$A$1:$Y$38</definedName>
    <definedName name="_xlnm.Print_Area" localSheetId="18">'3-2-14'!$A$1:$K$17</definedName>
    <definedName name="_xlnm.Print_Area" localSheetId="19">'3-2-15'!$A$1:$K$27</definedName>
    <definedName name="_xlnm.Print_Area" localSheetId="20">'3-2-16'!$A$1:$K$24</definedName>
    <definedName name="_xlnm.Print_Area" localSheetId="21">'3-2-17'!$A$1:$U$21</definedName>
    <definedName name="_xlnm.Print_Area" localSheetId="22">'3-2-18'!$A$1:$K$23</definedName>
    <definedName name="_xlnm.Print_Area" localSheetId="23">'3-2-19'!$A$1:$K$19</definedName>
    <definedName name="_xlnm.Print_Area" localSheetId="6">'3-2-2'!$A$1:$N$19</definedName>
    <definedName name="_xlnm.Print_Area" localSheetId="24">'3-2-20'!$A$1:$K$23</definedName>
    <definedName name="_xlnm.Print_Area" localSheetId="25">'3-2-21'!$A$1:$U$25</definedName>
    <definedName name="_xlnm.Print_Area" localSheetId="7">'3-2-3'!$A$1:$E$35</definedName>
    <definedName name="_xlnm.Print_Area" localSheetId="8">'3-2-4'!$A$1:$P$17</definedName>
    <definedName name="_xlnm.Print_Area" localSheetId="9">'3-2-5'!$A$1:$U$74</definedName>
    <definedName name="_xlnm.Print_Area" localSheetId="10">'3-2-6'!$A$1:$K$27</definedName>
    <definedName name="_xlnm.Print_Area" localSheetId="11">'3-2-7 '!$A$1:$O$54</definedName>
    <definedName name="_xlnm.Print_Area" localSheetId="12">'3-2-8'!$A$1:$K$27</definedName>
    <definedName name="_xlnm.Print_Area" localSheetId="13">'3-2-9'!$A$1:$U$21</definedName>
    <definedName name="_xlnm.Print_Area" localSheetId="32">'3-3-1'!$A$1:$L$22</definedName>
    <definedName name="_xlnm.Print_Area" localSheetId="42">'3-3-11'!$A$1:$AE$20</definedName>
    <definedName name="_xlnm.Print_Area" localSheetId="43">'3-3-12'!$A$1:$L$9</definedName>
    <definedName name="_xlnm.Print_Area" localSheetId="1">本篇表次對應少年事件程序圖!$A$1:$P$31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34" l="1"/>
  <c r="E9" i="34"/>
  <c r="H11" i="34"/>
  <c r="H9" i="34"/>
  <c r="K11" i="34"/>
  <c r="K9" i="34"/>
  <c r="N11" i="34"/>
  <c r="N9" i="34"/>
  <c r="Q11" i="34"/>
  <c r="Q9" i="34"/>
  <c r="B4" i="13" l="1"/>
  <c r="C25" i="13" s="1"/>
  <c r="C36" i="13" l="1"/>
  <c r="C22" i="13"/>
  <c r="C33" i="13"/>
  <c r="C20" i="13"/>
  <c r="C32" i="13"/>
  <c r="C21" i="13"/>
  <c r="C26" i="13"/>
  <c r="C8" i="13"/>
  <c r="C24" i="13"/>
  <c r="C31" i="13"/>
  <c r="C11" i="13"/>
  <c r="C30" i="13"/>
  <c r="C7" i="13"/>
  <c r="C13" i="13"/>
  <c r="C28" i="13"/>
  <c r="C35" i="13"/>
  <c r="C16" i="13"/>
  <c r="C5" i="13"/>
  <c r="C27" i="13"/>
  <c r="C9" i="13"/>
  <c r="C14" i="13"/>
  <c r="C18" i="13"/>
  <c r="C19" i="13"/>
  <c r="C37" i="13"/>
  <c r="C6" i="13"/>
  <c r="C10" i="13"/>
  <c r="C12" i="13"/>
  <c r="C15" i="13"/>
  <c r="C23" i="13"/>
  <c r="C29" i="13"/>
  <c r="C34" i="13"/>
  <c r="C17" i="13"/>
  <c r="C4" i="13" l="1"/>
  <c r="D25" i="13" s="1"/>
  <c r="D20" i="13" l="1"/>
  <c r="D26" i="13"/>
  <c r="D21" i="13"/>
  <c r="D22" i="13"/>
  <c r="D4" i="13" l="1"/>
  <c r="E20" i="13" s="1"/>
  <c r="E36" i="13" l="1"/>
  <c r="E34" i="13"/>
  <c r="E17" i="13"/>
  <c r="E6" i="13"/>
  <c r="E9" i="13"/>
  <c r="E19" i="13"/>
  <c r="E8" i="13"/>
  <c r="E31" i="13"/>
  <c r="E33" i="13"/>
  <c r="E37" i="13"/>
  <c r="E16" i="13"/>
  <c r="E27" i="13"/>
  <c r="E15" i="13"/>
  <c r="E23" i="13"/>
  <c r="E11" i="13"/>
  <c r="E32" i="13"/>
  <c r="E13" i="13"/>
  <c r="E14" i="13"/>
  <c r="E29" i="13"/>
  <c r="E28" i="13"/>
  <c r="E18" i="13"/>
  <c r="E24" i="13"/>
  <c r="E30" i="13"/>
  <c r="E10" i="13"/>
  <c r="E12" i="13"/>
  <c r="E5" i="13"/>
  <c r="E7" i="13"/>
  <c r="E35" i="13"/>
  <c r="E25" i="13"/>
  <c r="E21" i="13"/>
  <c r="E22" i="13"/>
  <c r="E26" i="13"/>
  <c r="E4" i="13" l="1"/>
  <c r="B57" i="47" l="1"/>
  <c r="D57" i="47"/>
  <c r="F57" i="47"/>
  <c r="H57" i="47"/>
  <c r="J57" i="47"/>
  <c r="L57" i="47"/>
  <c r="N57" i="47"/>
  <c r="P57" i="47"/>
  <c r="R57" i="47"/>
  <c r="T57" i="47"/>
  <c r="B58" i="47"/>
  <c r="D58" i="47"/>
  <c r="F58" i="47"/>
  <c r="H58" i="47"/>
  <c r="J58" i="47"/>
  <c r="L58" i="47"/>
  <c r="N58" i="47"/>
  <c r="P58" i="47"/>
  <c r="R58" i="47"/>
  <c r="T58" i="47"/>
  <c r="B59" i="47"/>
  <c r="D59" i="47"/>
  <c r="F59" i="47"/>
  <c r="H59" i="47"/>
  <c r="J59" i="47"/>
  <c r="L59" i="47"/>
  <c r="N59" i="47"/>
  <c r="P59" i="47"/>
  <c r="R59" i="47"/>
  <c r="T59" i="47"/>
  <c r="B60" i="47"/>
  <c r="D60" i="47"/>
  <c r="F60" i="47"/>
  <c r="H60" i="47"/>
  <c r="J60" i="47"/>
  <c r="L60" i="47"/>
  <c r="N60" i="47"/>
  <c r="P60" i="47"/>
  <c r="R60" i="47"/>
  <c r="T60" i="47"/>
  <c r="B61" i="47"/>
  <c r="D61" i="47"/>
  <c r="F61" i="47"/>
  <c r="H61" i="47"/>
  <c r="J61" i="47"/>
  <c r="L61" i="47"/>
  <c r="N61" i="47"/>
  <c r="P61" i="47"/>
  <c r="R61" i="47"/>
  <c r="T61" i="47"/>
  <c r="B62" i="47"/>
  <c r="D62" i="47"/>
  <c r="F62" i="47"/>
  <c r="H62" i="47"/>
  <c r="J62" i="47"/>
  <c r="L62" i="47"/>
  <c r="N62" i="47"/>
  <c r="P62" i="47"/>
  <c r="R62" i="47"/>
  <c r="T62" i="47"/>
  <c r="B63" i="47"/>
  <c r="D63" i="47"/>
  <c r="F63" i="47"/>
  <c r="H63" i="47"/>
  <c r="J63" i="47"/>
  <c r="L63" i="47"/>
  <c r="N63" i="47"/>
  <c r="P63" i="47"/>
  <c r="R63" i="47"/>
  <c r="T63" i="47"/>
  <c r="B64" i="47"/>
  <c r="D64" i="47"/>
  <c r="F64" i="47"/>
  <c r="H64" i="47"/>
  <c r="J64" i="47"/>
  <c r="L64" i="47"/>
  <c r="N64" i="47"/>
  <c r="P64" i="47"/>
  <c r="R64" i="47"/>
  <c r="T64" i="47"/>
  <c r="B65" i="47"/>
  <c r="D65" i="47"/>
  <c r="F65" i="47"/>
  <c r="H65" i="47"/>
  <c r="J65" i="47"/>
  <c r="L65" i="47"/>
  <c r="N65" i="47"/>
  <c r="P65" i="47"/>
  <c r="R65" i="47"/>
  <c r="T65" i="47"/>
  <c r="B66" i="47"/>
  <c r="D66" i="47"/>
  <c r="F66" i="47"/>
  <c r="H66" i="47"/>
  <c r="J66" i="47"/>
  <c r="L66" i="47"/>
  <c r="N66" i="47"/>
  <c r="P66" i="47"/>
  <c r="R66" i="47"/>
  <c r="T66" i="47"/>
  <c r="B67" i="47"/>
  <c r="D67" i="47"/>
  <c r="F67" i="47"/>
  <c r="H67" i="47"/>
  <c r="J67" i="47"/>
  <c r="L67" i="47"/>
  <c r="N67" i="47"/>
  <c r="P67" i="47"/>
  <c r="R67" i="47"/>
  <c r="T67" i="47"/>
  <c r="B68" i="47"/>
  <c r="D68" i="47"/>
  <c r="F68" i="47"/>
  <c r="H68" i="47"/>
  <c r="J68" i="47"/>
  <c r="L68" i="47"/>
  <c r="N68" i="47"/>
  <c r="P68" i="47"/>
  <c r="R68" i="47"/>
  <c r="T68" i="47"/>
  <c r="B69" i="47"/>
  <c r="D69" i="47"/>
  <c r="F69" i="47"/>
  <c r="H69" i="47"/>
  <c r="J69" i="47"/>
  <c r="L69" i="47"/>
  <c r="N69" i="47"/>
  <c r="P69" i="47"/>
  <c r="R69" i="47"/>
  <c r="T69" i="47"/>
  <c r="B70" i="47"/>
  <c r="D70" i="47"/>
  <c r="F70" i="47"/>
  <c r="H70" i="47"/>
  <c r="J70" i="47"/>
  <c r="L70" i="47"/>
  <c r="N70" i="47"/>
  <c r="P70" i="47"/>
  <c r="R70" i="47"/>
  <c r="T70" i="47"/>
  <c r="B71" i="47"/>
  <c r="D71" i="47"/>
  <c r="F71" i="47"/>
  <c r="H71" i="47"/>
  <c r="J71" i="47"/>
  <c r="L71" i="47"/>
  <c r="N71" i="47"/>
  <c r="P71" i="47"/>
  <c r="R71" i="47"/>
  <c r="T71" i="47"/>
  <c r="B72" i="47"/>
  <c r="D72" i="47"/>
  <c r="F72" i="47"/>
  <c r="H72" i="47"/>
  <c r="J72" i="47"/>
  <c r="L72" i="47"/>
  <c r="N72" i="47"/>
  <c r="P72" i="47"/>
  <c r="R72" i="47"/>
  <c r="T72" i="47"/>
  <c r="B73" i="47"/>
  <c r="D73" i="47"/>
  <c r="F73" i="47"/>
  <c r="H73" i="47"/>
  <c r="J73" i="47"/>
  <c r="L73" i="47"/>
  <c r="N73" i="47"/>
  <c r="P73" i="47"/>
  <c r="R73" i="47"/>
  <c r="T73" i="47"/>
  <c r="B74" i="47"/>
  <c r="D74" i="47"/>
  <c r="F74" i="47"/>
  <c r="H74" i="47"/>
  <c r="J74" i="47"/>
  <c r="L74" i="47"/>
  <c r="N74" i="47"/>
  <c r="P74" i="47"/>
  <c r="R74" i="47"/>
  <c r="T74" i="47"/>
  <c r="B75" i="47"/>
  <c r="D75" i="47"/>
  <c r="F75" i="47"/>
  <c r="H75" i="47"/>
  <c r="J75" i="47"/>
  <c r="L75" i="47"/>
  <c r="N75" i="47"/>
  <c r="P75" i="47"/>
  <c r="R75" i="47"/>
  <c r="T75" i="47"/>
  <c r="B76" i="47"/>
  <c r="D76" i="47"/>
  <c r="F76" i="47"/>
  <c r="H76" i="47"/>
  <c r="J76" i="47"/>
  <c r="L76" i="47"/>
  <c r="N76" i="47"/>
  <c r="P76" i="47"/>
  <c r="R76" i="47"/>
  <c r="T76" i="47"/>
  <c r="B77" i="47"/>
  <c r="D77" i="47"/>
  <c r="F77" i="47"/>
  <c r="H77" i="47"/>
  <c r="J77" i="47"/>
  <c r="L77" i="47"/>
  <c r="N77" i="47"/>
  <c r="P77" i="47"/>
  <c r="R77" i="47"/>
  <c r="T77" i="47"/>
  <c r="B78" i="47"/>
  <c r="D78" i="47"/>
  <c r="F78" i="47"/>
  <c r="H78" i="47"/>
  <c r="J78" i="47"/>
  <c r="L78" i="47"/>
  <c r="N78" i="47"/>
  <c r="P78" i="47"/>
  <c r="R78" i="47"/>
  <c r="T78" i="47"/>
  <c r="B79" i="47"/>
  <c r="D79" i="47"/>
  <c r="F79" i="47"/>
  <c r="H79" i="47"/>
  <c r="J79" i="47"/>
  <c r="L79" i="47"/>
  <c r="N79" i="47"/>
  <c r="P79" i="47"/>
  <c r="R79" i="47"/>
  <c r="T79" i="47"/>
  <c r="B80" i="47"/>
  <c r="D80" i="47"/>
  <c r="F80" i="47"/>
  <c r="H80" i="47"/>
  <c r="J80" i="47"/>
  <c r="L80" i="47"/>
  <c r="N80" i="47"/>
  <c r="P80" i="47"/>
  <c r="R80" i="47"/>
  <c r="T80" i="47"/>
  <c r="B81" i="47"/>
  <c r="D81" i="47"/>
  <c r="F81" i="47"/>
  <c r="H81" i="47"/>
  <c r="J81" i="47"/>
  <c r="L81" i="47"/>
  <c r="N81" i="47"/>
  <c r="P81" i="47"/>
  <c r="R81" i="47"/>
  <c r="T81" i="47"/>
  <c r="B82" i="47"/>
  <c r="D82" i="47"/>
  <c r="F82" i="47"/>
  <c r="H82" i="47"/>
  <c r="J82" i="47"/>
  <c r="L82" i="47"/>
  <c r="N82" i="47"/>
  <c r="P82" i="47"/>
  <c r="R82" i="47"/>
  <c r="T82" i="47"/>
  <c r="B83" i="47"/>
  <c r="D83" i="47"/>
  <c r="F83" i="47"/>
  <c r="H83" i="47"/>
  <c r="J83" i="47"/>
  <c r="L83" i="47"/>
  <c r="N83" i="47"/>
  <c r="P83" i="47"/>
  <c r="R83" i="47"/>
  <c r="T83" i="47"/>
  <c r="B84" i="47"/>
  <c r="D84" i="47"/>
  <c r="F84" i="47"/>
  <c r="H84" i="47"/>
  <c r="J84" i="47"/>
  <c r="L84" i="47"/>
  <c r="N84" i="47"/>
  <c r="P84" i="47"/>
  <c r="R84" i="47"/>
  <c r="T84" i="47"/>
  <c r="B85" i="47"/>
  <c r="D85" i="47"/>
  <c r="F85" i="47"/>
  <c r="H85" i="47"/>
  <c r="J85" i="47"/>
  <c r="L85" i="47"/>
  <c r="N85" i="47"/>
  <c r="P85" i="47"/>
  <c r="R85" i="47"/>
  <c r="S85" i="47"/>
  <c r="T85" i="47"/>
  <c r="B86" i="47"/>
  <c r="D86" i="47"/>
  <c r="F86" i="47"/>
  <c r="H86" i="47"/>
  <c r="J86" i="47"/>
  <c r="L86" i="47"/>
  <c r="N86" i="47"/>
  <c r="P86" i="47"/>
  <c r="R86" i="47"/>
  <c r="T86" i="47"/>
  <c r="B87" i="47"/>
  <c r="D87" i="47"/>
  <c r="F87" i="47"/>
  <c r="H87" i="47"/>
  <c r="J87" i="47"/>
  <c r="L87" i="47"/>
  <c r="N87" i="47"/>
  <c r="P87" i="47"/>
  <c r="R87" i="47"/>
  <c r="T87" i="47"/>
  <c r="B88" i="47"/>
  <c r="D88" i="47"/>
  <c r="F88" i="47"/>
  <c r="H88" i="47"/>
  <c r="J88" i="47"/>
  <c r="L88" i="47"/>
  <c r="N88" i="47"/>
  <c r="P88" i="47"/>
  <c r="R88" i="47"/>
  <c r="T88" i="47"/>
  <c r="B89" i="47"/>
  <c r="D89" i="47"/>
  <c r="F89" i="47"/>
  <c r="H89" i="47"/>
  <c r="J89" i="47"/>
  <c r="L89" i="47"/>
  <c r="N89" i="47"/>
  <c r="P89" i="47"/>
  <c r="R89" i="47"/>
  <c r="T89" i="47"/>
  <c r="B90" i="47"/>
  <c r="D90" i="47"/>
  <c r="F90" i="47"/>
  <c r="H90" i="47"/>
  <c r="J90" i="47"/>
  <c r="L90" i="47"/>
  <c r="N90" i="47"/>
  <c r="P90" i="47"/>
  <c r="R90" i="47"/>
  <c r="T90" i="47"/>
  <c r="B91" i="47"/>
  <c r="D91" i="47"/>
  <c r="F91" i="47"/>
  <c r="H91" i="47"/>
  <c r="J91" i="47"/>
  <c r="L91" i="47"/>
  <c r="N91" i="47"/>
  <c r="P91" i="47"/>
  <c r="R91" i="47"/>
  <c r="T91" i="47"/>
  <c r="B92" i="47"/>
  <c r="D92" i="47"/>
  <c r="F92" i="47"/>
  <c r="H92" i="47"/>
  <c r="J92" i="47"/>
  <c r="L92" i="47"/>
  <c r="N92" i="47"/>
  <c r="P92" i="47"/>
  <c r="R92" i="47"/>
  <c r="T92" i="47"/>
  <c r="B93" i="47"/>
  <c r="D93" i="47"/>
  <c r="F93" i="47"/>
  <c r="H93" i="47"/>
  <c r="J93" i="47"/>
  <c r="L93" i="47"/>
  <c r="N93" i="47"/>
  <c r="P93" i="47"/>
  <c r="R93" i="47"/>
  <c r="T93" i="47"/>
  <c r="B94" i="47"/>
  <c r="D94" i="47"/>
  <c r="F94" i="47"/>
  <c r="H94" i="47"/>
  <c r="J94" i="47"/>
  <c r="L94" i="47"/>
  <c r="N94" i="47"/>
  <c r="P94" i="47"/>
  <c r="R94" i="47"/>
  <c r="T94" i="47"/>
  <c r="B95" i="47"/>
  <c r="D95" i="47"/>
  <c r="F95" i="47"/>
  <c r="H95" i="47"/>
  <c r="J95" i="47"/>
  <c r="L95" i="47"/>
  <c r="N95" i="47"/>
  <c r="P95" i="47"/>
  <c r="R95" i="47"/>
  <c r="T95" i="47"/>
  <c r="B96" i="47"/>
  <c r="D96" i="47"/>
  <c r="F96" i="47"/>
  <c r="H96" i="47"/>
  <c r="J96" i="47"/>
  <c r="L96" i="47"/>
  <c r="N96" i="47"/>
  <c r="P96" i="47"/>
  <c r="R96" i="47"/>
  <c r="T96" i="47"/>
  <c r="B97" i="47"/>
  <c r="D97" i="47"/>
  <c r="F97" i="47"/>
  <c r="H97" i="47"/>
  <c r="J97" i="47"/>
  <c r="L97" i="47"/>
  <c r="N97" i="47"/>
  <c r="P97" i="47"/>
  <c r="R97" i="47"/>
  <c r="S97" i="47"/>
  <c r="T97" i="47"/>
  <c r="B98" i="47"/>
  <c r="D98" i="47"/>
  <c r="F98" i="47"/>
  <c r="H98" i="47"/>
  <c r="J98" i="47"/>
  <c r="L98" i="47"/>
  <c r="N98" i="47"/>
  <c r="P98" i="47"/>
  <c r="R98" i="47"/>
  <c r="S98" i="47"/>
  <c r="T98" i="47"/>
  <c r="B99" i="47"/>
  <c r="D99" i="47"/>
  <c r="F99" i="47"/>
  <c r="H99" i="47"/>
  <c r="J99" i="47"/>
  <c r="L99" i="47"/>
  <c r="N99" i="47"/>
  <c r="P99" i="47"/>
  <c r="R99" i="47"/>
  <c r="S99" i="47"/>
  <c r="T99" i="47"/>
  <c r="B100" i="47"/>
  <c r="D100" i="47"/>
  <c r="F100" i="47"/>
  <c r="H100" i="47"/>
  <c r="J100" i="47"/>
  <c r="L100" i="47"/>
  <c r="N100" i="47"/>
  <c r="P100" i="47"/>
  <c r="R100" i="47"/>
  <c r="T100" i="47"/>
  <c r="B101" i="47"/>
  <c r="D101" i="47"/>
  <c r="F101" i="47"/>
  <c r="H101" i="47"/>
  <c r="J101" i="47"/>
  <c r="L101" i="47"/>
  <c r="N101" i="47"/>
  <c r="P101" i="47"/>
  <c r="R101" i="47"/>
  <c r="T101" i="47"/>
  <c r="B102" i="47"/>
  <c r="D102" i="47"/>
  <c r="F102" i="47"/>
  <c r="H102" i="47"/>
  <c r="J102" i="47"/>
  <c r="L102" i="47"/>
  <c r="N102" i="47"/>
  <c r="P102" i="47"/>
  <c r="R102" i="47"/>
  <c r="T102" i="47"/>
  <c r="D56" i="47"/>
  <c r="F56" i="47"/>
  <c r="H56" i="47"/>
  <c r="J56" i="47"/>
  <c r="L56" i="47"/>
  <c r="N56" i="47"/>
  <c r="P56" i="47"/>
  <c r="R56" i="47"/>
  <c r="T56" i="47"/>
  <c r="B56" i="47"/>
  <c r="G4" i="48" l="1"/>
  <c r="G7" i="48" s="1"/>
  <c r="D6" i="48"/>
  <c r="D5" i="48"/>
  <c r="F4" i="48"/>
  <c r="F7" i="48" s="1"/>
  <c r="D3" i="48"/>
  <c r="D4" i="48" l="1"/>
  <c r="D7" i="48" s="1"/>
  <c r="P4" i="4" l="1"/>
  <c r="G15" i="5" l="1"/>
  <c r="H13" i="2" l="1"/>
  <c r="H11" i="2"/>
  <c r="H10" i="2"/>
  <c r="H9" i="2"/>
  <c r="H8" i="2"/>
  <c r="H7" i="2"/>
  <c r="H6" i="2"/>
  <c r="H5" i="2"/>
  <c r="I13" i="2"/>
  <c r="I11" i="2"/>
  <c r="I10" i="2"/>
  <c r="I9" i="2"/>
  <c r="I8" i="2"/>
  <c r="I7" i="2"/>
  <c r="I6" i="2"/>
  <c r="I5" i="2"/>
  <c r="F12" i="1" l="1"/>
  <c r="E12" i="1" s="1"/>
  <c r="AE19" i="30" l="1"/>
  <c r="C5" i="47" l="1"/>
  <c r="E5" i="47"/>
  <c r="G5" i="47"/>
  <c r="I5" i="47"/>
  <c r="K5" i="47"/>
  <c r="M5" i="47"/>
  <c r="O5" i="47"/>
  <c r="Q5" i="47"/>
  <c r="S5" i="47"/>
  <c r="U5" i="47"/>
  <c r="C6" i="47"/>
  <c r="E6" i="47"/>
  <c r="G6" i="47"/>
  <c r="I6" i="47"/>
  <c r="K6" i="47"/>
  <c r="M6" i="47"/>
  <c r="O6" i="47"/>
  <c r="Q6" i="47"/>
  <c r="S6" i="47"/>
  <c r="U6" i="47"/>
  <c r="C9" i="47"/>
  <c r="E9" i="47"/>
  <c r="G9" i="47"/>
  <c r="I9" i="47"/>
  <c r="K9" i="47"/>
  <c r="M9" i="47"/>
  <c r="O9" i="47"/>
  <c r="Q9" i="47"/>
  <c r="S9" i="47"/>
  <c r="U9" i="47"/>
  <c r="C8" i="47"/>
  <c r="E8" i="47"/>
  <c r="G8" i="47"/>
  <c r="I8" i="47"/>
  <c r="K8" i="47"/>
  <c r="M8" i="47"/>
  <c r="O8" i="47"/>
  <c r="Q8" i="47"/>
  <c r="S8" i="47"/>
  <c r="U8" i="47"/>
  <c r="C7" i="47"/>
  <c r="E7" i="47"/>
  <c r="G7" i="47"/>
  <c r="I7" i="47"/>
  <c r="K7" i="47"/>
  <c r="M7" i="47"/>
  <c r="O7" i="47"/>
  <c r="Q7" i="47"/>
  <c r="S7" i="47"/>
  <c r="U7" i="47"/>
  <c r="C10" i="47"/>
  <c r="E10" i="47"/>
  <c r="G10" i="47"/>
  <c r="I10" i="47"/>
  <c r="K10" i="47"/>
  <c r="M10" i="47"/>
  <c r="O10" i="47"/>
  <c r="Q10" i="47"/>
  <c r="S10" i="47"/>
  <c r="U10" i="47"/>
  <c r="C11" i="47"/>
  <c r="E11" i="47"/>
  <c r="G11" i="47"/>
  <c r="I11" i="47"/>
  <c r="K11" i="47"/>
  <c r="M11" i="47"/>
  <c r="O11" i="47"/>
  <c r="Q11" i="47"/>
  <c r="S11" i="47"/>
  <c r="U11" i="47"/>
  <c r="C13" i="47"/>
  <c r="E13" i="47"/>
  <c r="G13" i="47"/>
  <c r="I13" i="47"/>
  <c r="K13" i="47"/>
  <c r="M13" i="47"/>
  <c r="O13" i="47"/>
  <c r="Q13" i="47"/>
  <c r="S13" i="47"/>
  <c r="U13" i="47"/>
  <c r="C12" i="47"/>
  <c r="E12" i="47"/>
  <c r="G12" i="47"/>
  <c r="I12" i="47"/>
  <c r="K12" i="47"/>
  <c r="M12" i="47"/>
  <c r="O12" i="47"/>
  <c r="Q12" i="47"/>
  <c r="S12" i="47"/>
  <c r="U12" i="47"/>
  <c r="C17" i="47"/>
  <c r="E17" i="47"/>
  <c r="G17" i="47"/>
  <c r="I17" i="47"/>
  <c r="K17" i="47"/>
  <c r="M17" i="47"/>
  <c r="O17" i="47"/>
  <c r="Q17" i="47"/>
  <c r="S17" i="47"/>
  <c r="U17" i="47"/>
  <c r="C14" i="47"/>
  <c r="E14" i="47"/>
  <c r="G14" i="47"/>
  <c r="I14" i="47"/>
  <c r="K14" i="47"/>
  <c r="M14" i="47"/>
  <c r="O14" i="47"/>
  <c r="Q14" i="47"/>
  <c r="S14" i="47"/>
  <c r="U14" i="47"/>
  <c r="C15" i="47"/>
  <c r="E15" i="47"/>
  <c r="G15" i="47"/>
  <c r="I15" i="47"/>
  <c r="K15" i="47"/>
  <c r="M15" i="47"/>
  <c r="O15" i="47"/>
  <c r="Q15" i="47"/>
  <c r="S15" i="47"/>
  <c r="U15" i="47"/>
  <c r="C16" i="47"/>
  <c r="E16" i="47"/>
  <c r="G16" i="47"/>
  <c r="I16" i="47"/>
  <c r="K16" i="47"/>
  <c r="M16" i="47"/>
  <c r="O16" i="47"/>
  <c r="Q16" i="47"/>
  <c r="S16" i="47"/>
  <c r="U16" i="47"/>
  <c r="C18" i="47"/>
  <c r="E18" i="47"/>
  <c r="G18" i="47"/>
  <c r="I18" i="47"/>
  <c r="K18" i="47"/>
  <c r="M18" i="47"/>
  <c r="O18" i="47"/>
  <c r="Q18" i="47"/>
  <c r="S18" i="47"/>
  <c r="U18" i="47"/>
  <c r="C19" i="47"/>
  <c r="E19" i="47"/>
  <c r="G19" i="47"/>
  <c r="I19" i="47"/>
  <c r="K19" i="47"/>
  <c r="M19" i="47"/>
  <c r="O19" i="47"/>
  <c r="Q19" i="47"/>
  <c r="S19" i="47"/>
  <c r="U19" i="47"/>
  <c r="C21" i="47"/>
  <c r="E21" i="47"/>
  <c r="G21" i="47"/>
  <c r="I21" i="47"/>
  <c r="K21" i="47"/>
  <c r="M21" i="47"/>
  <c r="O21" i="47"/>
  <c r="Q21" i="47"/>
  <c r="S21" i="47"/>
  <c r="U21" i="47"/>
  <c r="C24" i="47"/>
  <c r="E24" i="47"/>
  <c r="G24" i="47"/>
  <c r="I24" i="47"/>
  <c r="K24" i="47"/>
  <c r="M24" i="47"/>
  <c r="O24" i="47"/>
  <c r="Q24" i="47"/>
  <c r="S24" i="47"/>
  <c r="U24" i="47"/>
  <c r="C22" i="47"/>
  <c r="E22" i="47"/>
  <c r="G22" i="47"/>
  <c r="I22" i="47"/>
  <c r="K22" i="47"/>
  <c r="M22" i="47"/>
  <c r="O22" i="47"/>
  <c r="Q22" i="47"/>
  <c r="S22" i="47"/>
  <c r="U22" i="47"/>
  <c r="C20" i="47"/>
  <c r="E20" i="47"/>
  <c r="G20" i="47"/>
  <c r="I20" i="47"/>
  <c r="K20" i="47"/>
  <c r="M20" i="47"/>
  <c r="O20" i="47"/>
  <c r="Q20" i="47"/>
  <c r="S20" i="47"/>
  <c r="U20" i="47"/>
  <c r="C26" i="47"/>
  <c r="E26" i="47"/>
  <c r="G26" i="47"/>
  <c r="I26" i="47"/>
  <c r="K26" i="47"/>
  <c r="M26" i="47"/>
  <c r="O26" i="47"/>
  <c r="Q26" i="47"/>
  <c r="S26" i="47"/>
  <c r="U26" i="47"/>
  <c r="C35" i="47"/>
  <c r="E35" i="47"/>
  <c r="G35" i="47"/>
  <c r="G86" i="47" s="1"/>
  <c r="I35" i="47"/>
  <c r="I86" i="47" s="1"/>
  <c r="K35" i="47"/>
  <c r="M35" i="47"/>
  <c r="O35" i="47"/>
  <c r="Q35" i="47"/>
  <c r="Q86" i="47" s="1"/>
  <c r="S35" i="47"/>
  <c r="U35" i="47"/>
  <c r="C27" i="47"/>
  <c r="E27" i="47"/>
  <c r="G27" i="47"/>
  <c r="I27" i="47"/>
  <c r="K27" i="47"/>
  <c r="M27" i="47"/>
  <c r="O27" i="47"/>
  <c r="Q27" i="47"/>
  <c r="S27" i="47"/>
  <c r="U27" i="47"/>
  <c r="C40" i="47"/>
  <c r="E40" i="47"/>
  <c r="G40" i="47"/>
  <c r="I40" i="47"/>
  <c r="K40" i="47"/>
  <c r="M40" i="47"/>
  <c r="O40" i="47"/>
  <c r="Q40" i="47"/>
  <c r="S40" i="47"/>
  <c r="U40" i="47"/>
  <c r="C23" i="47"/>
  <c r="E23" i="47"/>
  <c r="G23" i="47"/>
  <c r="I23" i="47"/>
  <c r="K23" i="47"/>
  <c r="M23" i="47"/>
  <c r="O23" i="47"/>
  <c r="Q23" i="47"/>
  <c r="S23" i="47"/>
  <c r="U23" i="47"/>
  <c r="C28" i="47"/>
  <c r="E28" i="47"/>
  <c r="G28" i="47"/>
  <c r="I28" i="47"/>
  <c r="K28" i="47"/>
  <c r="M28" i="47"/>
  <c r="O28" i="47"/>
  <c r="Q28" i="47"/>
  <c r="S28" i="47"/>
  <c r="U28" i="47"/>
  <c r="C25" i="47"/>
  <c r="E25" i="47"/>
  <c r="G25" i="47"/>
  <c r="I25" i="47"/>
  <c r="K25" i="47"/>
  <c r="M25" i="47"/>
  <c r="O25" i="47"/>
  <c r="Q25" i="47"/>
  <c r="S25" i="47"/>
  <c r="U25" i="47"/>
  <c r="C37" i="47"/>
  <c r="E37" i="47"/>
  <c r="G37" i="47"/>
  <c r="I37" i="47"/>
  <c r="K37" i="47"/>
  <c r="K88" i="47" s="1"/>
  <c r="M37" i="47"/>
  <c r="O37" i="47"/>
  <c r="Q37" i="47"/>
  <c r="S37" i="47"/>
  <c r="U37" i="47"/>
  <c r="C30" i="47"/>
  <c r="E30" i="47"/>
  <c r="G30" i="47"/>
  <c r="I30" i="47"/>
  <c r="K30" i="47"/>
  <c r="M30" i="47"/>
  <c r="O30" i="47"/>
  <c r="Q30" i="47"/>
  <c r="S30" i="47"/>
  <c r="U30" i="47"/>
  <c r="C31" i="47"/>
  <c r="E31" i="47"/>
  <c r="G31" i="47"/>
  <c r="I31" i="47"/>
  <c r="K31" i="47"/>
  <c r="M31" i="47"/>
  <c r="O31" i="47"/>
  <c r="Q31" i="47"/>
  <c r="S31" i="47"/>
  <c r="U31" i="47"/>
  <c r="C32" i="47"/>
  <c r="E32" i="47"/>
  <c r="G32" i="47"/>
  <c r="I32" i="47"/>
  <c r="K32" i="47"/>
  <c r="M32" i="47"/>
  <c r="O32" i="47"/>
  <c r="Q32" i="47"/>
  <c r="S32" i="47"/>
  <c r="U32" i="47"/>
  <c r="C36" i="47"/>
  <c r="E36" i="47"/>
  <c r="G36" i="47"/>
  <c r="G87" i="47" s="1"/>
  <c r="I36" i="47"/>
  <c r="K36" i="47"/>
  <c r="K87" i="47" s="1"/>
  <c r="M36" i="47"/>
  <c r="M87" i="47" s="1"/>
  <c r="O36" i="47"/>
  <c r="Q36" i="47"/>
  <c r="S36" i="47"/>
  <c r="U36" i="47"/>
  <c r="C33" i="47"/>
  <c r="E33" i="47"/>
  <c r="G33" i="47"/>
  <c r="I33" i="47"/>
  <c r="K33" i="47"/>
  <c r="M33" i="47"/>
  <c r="O33" i="47"/>
  <c r="Q33" i="47"/>
  <c r="S33" i="47"/>
  <c r="U33" i="47"/>
  <c r="C41" i="47"/>
  <c r="C92" i="47" s="1"/>
  <c r="E41" i="47"/>
  <c r="G41" i="47"/>
  <c r="G92" i="47" s="1"/>
  <c r="I41" i="47"/>
  <c r="I92" i="47" s="1"/>
  <c r="K41" i="47"/>
  <c r="M41" i="47"/>
  <c r="M92" i="47" s="1"/>
  <c r="O41" i="47"/>
  <c r="Q41" i="47"/>
  <c r="S41" i="47"/>
  <c r="U41" i="47"/>
  <c r="C29" i="47"/>
  <c r="E29" i="47"/>
  <c r="E80" i="47" s="1"/>
  <c r="G29" i="47"/>
  <c r="I29" i="47"/>
  <c r="K29" i="47"/>
  <c r="M29" i="47"/>
  <c r="O29" i="47"/>
  <c r="O80" i="47" s="1"/>
  <c r="Q29" i="47"/>
  <c r="S29" i="47"/>
  <c r="U29" i="47"/>
  <c r="C43" i="47"/>
  <c r="E43" i="47"/>
  <c r="G43" i="47"/>
  <c r="I43" i="47"/>
  <c r="K43" i="47"/>
  <c r="K94" i="47" s="1"/>
  <c r="M43" i="47"/>
  <c r="O43" i="47"/>
  <c r="Q43" i="47"/>
  <c r="S43" i="47"/>
  <c r="U43" i="47"/>
  <c r="C42" i="47"/>
  <c r="C93" i="47" s="1"/>
  <c r="E42" i="47"/>
  <c r="G42" i="47"/>
  <c r="G93" i="47" s="1"/>
  <c r="I42" i="47"/>
  <c r="K42" i="47"/>
  <c r="K93" i="47" s="1"/>
  <c r="M42" i="47"/>
  <c r="O42" i="47"/>
  <c r="Q42" i="47"/>
  <c r="S42" i="47"/>
  <c r="U42" i="47"/>
  <c r="C44" i="47"/>
  <c r="C95" i="47" s="1"/>
  <c r="E44" i="47"/>
  <c r="E95" i="47" s="1"/>
  <c r="G44" i="47"/>
  <c r="I44" i="47"/>
  <c r="I95" i="47" s="1"/>
  <c r="K44" i="47"/>
  <c r="M44" i="47"/>
  <c r="M95" i="47" s="1"/>
  <c r="O44" i="47"/>
  <c r="Q44" i="47"/>
  <c r="S44" i="47"/>
  <c r="U44" i="47"/>
  <c r="C38" i="47"/>
  <c r="E38" i="47"/>
  <c r="G38" i="47"/>
  <c r="I38" i="47"/>
  <c r="K38" i="47"/>
  <c r="M38" i="47"/>
  <c r="O38" i="47"/>
  <c r="O89" i="47" s="1"/>
  <c r="Q38" i="47"/>
  <c r="S38" i="47"/>
  <c r="U38" i="47"/>
  <c r="C34" i="47"/>
  <c r="E34" i="47"/>
  <c r="G34" i="47"/>
  <c r="I34" i="47"/>
  <c r="K34" i="47"/>
  <c r="M34" i="47"/>
  <c r="O34" i="47"/>
  <c r="Q34" i="47"/>
  <c r="U34" i="47"/>
  <c r="C46" i="47"/>
  <c r="E46" i="47"/>
  <c r="G46" i="47"/>
  <c r="I46" i="47"/>
  <c r="K46" i="47"/>
  <c r="K97" i="47" s="1"/>
  <c r="M46" i="47"/>
  <c r="O46" i="47"/>
  <c r="Q46" i="47"/>
  <c r="C47" i="47"/>
  <c r="C98" i="47" s="1"/>
  <c r="E47" i="47"/>
  <c r="G47" i="47"/>
  <c r="I47" i="47"/>
  <c r="I98" i="47" s="1"/>
  <c r="K47" i="47"/>
  <c r="K98" i="47" s="1"/>
  <c r="M47" i="47"/>
  <c r="M98" i="47" s="1"/>
  <c r="O47" i="47"/>
  <c r="Q47" i="47"/>
  <c r="C48" i="47"/>
  <c r="C99" i="47" s="1"/>
  <c r="E48" i="47"/>
  <c r="E99" i="47" s="1"/>
  <c r="G48" i="47"/>
  <c r="I48" i="47"/>
  <c r="I99" i="47" s="1"/>
  <c r="K48" i="47"/>
  <c r="M48" i="47"/>
  <c r="M99" i="47" s="1"/>
  <c r="O48" i="47"/>
  <c r="Q48" i="47"/>
  <c r="C39" i="47"/>
  <c r="C90" i="47" s="1"/>
  <c r="E39" i="47"/>
  <c r="G39" i="47"/>
  <c r="G90" i="47" s="1"/>
  <c r="I39" i="47"/>
  <c r="K39" i="47"/>
  <c r="K90" i="47" s="1"/>
  <c r="M39" i="47"/>
  <c r="M90" i="47" s="1"/>
  <c r="O39" i="47"/>
  <c r="O90" i="47" s="1"/>
  <c r="Q39" i="47"/>
  <c r="Q90" i="47" s="1"/>
  <c r="S39" i="47"/>
  <c r="S90" i="47" s="1"/>
  <c r="U39" i="47"/>
  <c r="C49" i="47"/>
  <c r="C100" i="47" s="1"/>
  <c r="E49" i="47"/>
  <c r="E100" i="47" s="1"/>
  <c r="G49" i="47"/>
  <c r="G100" i="47" s="1"/>
  <c r="I49" i="47"/>
  <c r="I100" i="47" s="1"/>
  <c r="K49" i="47"/>
  <c r="K100" i="47" s="1"/>
  <c r="M49" i="47"/>
  <c r="M100" i="47" s="1"/>
  <c r="O49" i="47"/>
  <c r="O100" i="47" s="1"/>
  <c r="Q49" i="47"/>
  <c r="Q100" i="47" s="1"/>
  <c r="S49" i="47"/>
  <c r="S100" i="47" s="1"/>
  <c r="C50" i="47"/>
  <c r="C101" i="47" s="1"/>
  <c r="E50" i="47"/>
  <c r="G50" i="47"/>
  <c r="G101" i="47" s="1"/>
  <c r="I50" i="47"/>
  <c r="I101" i="47" s="1"/>
  <c r="K50" i="47"/>
  <c r="K101" i="47" s="1"/>
  <c r="M50" i="47"/>
  <c r="O50" i="47"/>
  <c r="O101" i="47" s="1"/>
  <c r="Q50" i="47"/>
  <c r="Q101" i="47" s="1"/>
  <c r="S50" i="47"/>
  <c r="S101" i="47" s="1"/>
  <c r="C45" i="47"/>
  <c r="E45" i="47"/>
  <c r="E96" i="47" s="1"/>
  <c r="G45" i="47"/>
  <c r="I45" i="47"/>
  <c r="I96" i="47" s="1"/>
  <c r="K45" i="47"/>
  <c r="K96" i="47" s="1"/>
  <c r="M45" i="47"/>
  <c r="M96" i="47" s="1"/>
  <c r="O45" i="47"/>
  <c r="O96" i="47" s="1"/>
  <c r="Q45" i="47"/>
  <c r="Q96" i="47" s="1"/>
  <c r="S45" i="47"/>
  <c r="S96" i="47" s="1"/>
  <c r="U45" i="47"/>
  <c r="C51" i="47"/>
  <c r="E51" i="47"/>
  <c r="G51" i="47"/>
  <c r="I51" i="47"/>
  <c r="I102" i="47" s="1"/>
  <c r="K51" i="47"/>
  <c r="M51" i="47"/>
  <c r="O51" i="47"/>
  <c r="Q51" i="47"/>
  <c r="Q102" i="47" s="1"/>
  <c r="S51" i="47"/>
  <c r="U51" i="47"/>
  <c r="D6" i="46"/>
  <c r="F6" i="46"/>
  <c r="H6" i="46"/>
  <c r="J6" i="46"/>
  <c r="L6" i="46"/>
  <c r="N6" i="46"/>
  <c r="D5" i="46"/>
  <c r="F5" i="46"/>
  <c r="H5" i="46"/>
  <c r="J5" i="46"/>
  <c r="L5" i="46"/>
  <c r="N5" i="46"/>
  <c r="F7" i="46"/>
  <c r="H7" i="46"/>
  <c r="J7" i="46"/>
  <c r="L7" i="46"/>
  <c r="N7" i="46"/>
  <c r="D8" i="46"/>
  <c r="F8" i="46"/>
  <c r="H8" i="46"/>
  <c r="J8" i="46"/>
  <c r="L8" i="46"/>
  <c r="N8" i="46"/>
  <c r="F9" i="46"/>
  <c r="H9" i="46"/>
  <c r="J9" i="46"/>
  <c r="L9" i="46"/>
  <c r="N9" i="46"/>
  <c r="H11" i="46"/>
  <c r="L11" i="46"/>
  <c r="B10" i="46"/>
  <c r="B15" i="46"/>
  <c r="B14" i="46"/>
  <c r="B16" i="46"/>
  <c r="B17" i="46"/>
  <c r="B19" i="46"/>
  <c r="B13" i="46"/>
  <c r="B18" i="46"/>
  <c r="B20" i="46"/>
  <c r="B21" i="46"/>
  <c r="B22" i="46"/>
  <c r="B24" i="46"/>
  <c r="B26" i="46"/>
  <c r="B28" i="46"/>
  <c r="B25" i="46"/>
  <c r="B34" i="46"/>
  <c r="B29" i="46"/>
  <c r="B31" i="46"/>
  <c r="B32" i="46"/>
  <c r="B35" i="46"/>
  <c r="B44" i="46"/>
  <c r="B45" i="46"/>
  <c r="B36" i="46"/>
  <c r="B38" i="46"/>
  <c r="B27" i="46"/>
  <c r="B40" i="46"/>
  <c r="B42" i="46"/>
  <c r="B33" i="46"/>
  <c r="B39" i="46"/>
  <c r="B48" i="46"/>
  <c r="B49" i="46"/>
  <c r="B50" i="46"/>
  <c r="B37" i="46"/>
  <c r="J21" i="8"/>
  <c r="G14" i="41"/>
  <c r="D14" i="41"/>
  <c r="F14" i="41"/>
  <c r="U7" i="23"/>
  <c r="U8" i="23"/>
  <c r="U9" i="23"/>
  <c r="U10" i="23"/>
  <c r="U11" i="23"/>
  <c r="U12" i="23"/>
  <c r="U6" i="23"/>
  <c r="Q6" i="23"/>
  <c r="K6" i="43"/>
  <c r="K7" i="43"/>
  <c r="K8" i="43"/>
  <c r="K9" i="43"/>
  <c r="K10" i="43"/>
  <c r="K11" i="43"/>
  <c r="K5" i="43"/>
  <c r="I5" i="43"/>
  <c r="K6" i="28"/>
  <c r="K7" i="28"/>
  <c r="K8" i="28"/>
  <c r="K9" i="28"/>
  <c r="K10" i="28"/>
  <c r="K11" i="28"/>
  <c r="K5" i="28"/>
  <c r="I5" i="28"/>
  <c r="J4" i="46" l="1"/>
  <c r="K9" i="46" s="1"/>
  <c r="O9" i="46"/>
  <c r="N4" i="46"/>
  <c r="O5" i="46"/>
  <c r="F4" i="46"/>
  <c r="G5" i="46" s="1"/>
  <c r="M102" i="47"/>
  <c r="E102" i="47"/>
  <c r="M11" i="46"/>
  <c r="O8" i="46"/>
  <c r="K7" i="46"/>
  <c r="L4" i="46"/>
  <c r="D4" i="46"/>
  <c r="S102" i="47"/>
  <c r="K102" i="47"/>
  <c r="C102" i="47"/>
  <c r="G96" i="47"/>
  <c r="E90" i="47"/>
  <c r="E98" i="47"/>
  <c r="M97" i="47"/>
  <c r="E97" i="47"/>
  <c r="O85" i="47"/>
  <c r="G85" i="47"/>
  <c r="S89" i="47"/>
  <c r="K89" i="47"/>
  <c r="C89" i="47"/>
  <c r="O95" i="47"/>
  <c r="G95" i="47"/>
  <c r="S93" i="47"/>
  <c r="O94" i="47"/>
  <c r="G94" i="47"/>
  <c r="B11" i="46"/>
  <c r="K8" i="46"/>
  <c r="O7" i="46"/>
  <c r="G7" i="46"/>
  <c r="H4" i="46"/>
  <c r="I8" i="46" s="1"/>
  <c r="E6" i="46"/>
  <c r="O102" i="47"/>
  <c r="G102" i="47"/>
  <c r="C96" i="47"/>
  <c r="M101" i="47"/>
  <c r="E101" i="47"/>
  <c r="M7" i="46"/>
  <c r="I90" i="47"/>
  <c r="Q99" i="47"/>
  <c r="Q98" i="47"/>
  <c r="Q97" i="47"/>
  <c r="I97" i="47"/>
  <c r="K85" i="47"/>
  <c r="C85" i="47"/>
  <c r="G89" i="47"/>
  <c r="S95" i="47"/>
  <c r="O99" i="47"/>
  <c r="G99" i="47"/>
  <c r="O98" i="47"/>
  <c r="G98" i="47"/>
  <c r="O97" i="47"/>
  <c r="G97" i="47"/>
  <c r="Q85" i="47"/>
  <c r="I85" i="47"/>
  <c r="M89" i="47"/>
  <c r="E89" i="47"/>
  <c r="Q95" i="47"/>
  <c r="M93" i="47"/>
  <c r="E93" i="47"/>
  <c r="Q94" i="47"/>
  <c r="I94" i="47"/>
  <c r="M80" i="47"/>
  <c r="Q92" i="47"/>
  <c r="M84" i="47"/>
  <c r="E84" i="47"/>
  <c r="Q87" i="47"/>
  <c r="I87" i="47"/>
  <c r="M83" i="47"/>
  <c r="E83" i="47"/>
  <c r="Q82" i="47"/>
  <c r="I82" i="47"/>
  <c r="M81" i="47"/>
  <c r="E81" i="47"/>
  <c r="Q88" i="47"/>
  <c r="I88" i="47"/>
  <c r="M76" i="47"/>
  <c r="E76" i="47"/>
  <c r="Q79" i="47"/>
  <c r="I79" i="47"/>
  <c r="M74" i="47"/>
  <c r="E74" i="47"/>
  <c r="Q91" i="47"/>
  <c r="I91" i="47"/>
  <c r="M78" i="47"/>
  <c r="E78" i="47"/>
  <c r="M77" i="47"/>
  <c r="E77" i="47"/>
  <c r="Q71" i="47"/>
  <c r="I71" i="47"/>
  <c r="M73" i="47"/>
  <c r="E73" i="47"/>
  <c r="Q75" i="47"/>
  <c r="I75" i="47"/>
  <c r="M72" i="47"/>
  <c r="E72" i="47"/>
  <c r="Q70" i="47"/>
  <c r="I70" i="47"/>
  <c r="M69" i="47"/>
  <c r="E69" i="47"/>
  <c r="Q67" i="47"/>
  <c r="I67" i="47"/>
  <c r="M66" i="47"/>
  <c r="E66" i="47"/>
  <c r="Q65" i="47"/>
  <c r="I65" i="47"/>
  <c r="M68" i="47"/>
  <c r="E68" i="47"/>
  <c r="Q63" i="47"/>
  <c r="I63" i="47"/>
  <c r="M64" i="47"/>
  <c r="E64" i="47"/>
  <c r="Q62" i="47"/>
  <c r="I62" i="47"/>
  <c r="M61" i="47"/>
  <c r="E61" i="47"/>
  <c r="Q58" i="47"/>
  <c r="I58" i="47"/>
  <c r="M59" i="47"/>
  <c r="E59" i="47"/>
  <c r="Q60" i="47"/>
  <c r="I60" i="47"/>
  <c r="M57" i="47"/>
  <c r="E57" i="47"/>
  <c r="Q56" i="47"/>
  <c r="I56" i="47"/>
  <c r="S80" i="47"/>
  <c r="K80" i="47"/>
  <c r="C80" i="47"/>
  <c r="O92" i="47"/>
  <c r="S84" i="47"/>
  <c r="K84" i="47"/>
  <c r="C84" i="47"/>
  <c r="O87" i="47"/>
  <c r="S83" i="47"/>
  <c r="K83" i="47"/>
  <c r="C83" i="47"/>
  <c r="O82" i="47"/>
  <c r="G82" i="47"/>
  <c r="S81" i="47"/>
  <c r="K81" i="47"/>
  <c r="C81" i="47"/>
  <c r="O88" i="47"/>
  <c r="G88" i="47"/>
  <c r="S76" i="47"/>
  <c r="K76" i="47"/>
  <c r="C76" i="47"/>
  <c r="O79" i="47"/>
  <c r="G79" i="47"/>
  <c r="S74" i="47"/>
  <c r="K74" i="47"/>
  <c r="C74" i="47"/>
  <c r="O91" i="47"/>
  <c r="G91" i="47"/>
  <c r="S78" i="47"/>
  <c r="K78" i="47"/>
  <c r="C78" i="47"/>
  <c r="O86" i="47"/>
  <c r="S77" i="47"/>
  <c r="K77" i="47"/>
  <c r="C77" i="47"/>
  <c r="O71" i="47"/>
  <c r="G71" i="47"/>
  <c r="S73" i="47"/>
  <c r="K73" i="47"/>
  <c r="C73" i="47"/>
  <c r="O75" i="47"/>
  <c r="G75" i="47"/>
  <c r="S72" i="47"/>
  <c r="K72" i="47"/>
  <c r="C72" i="47"/>
  <c r="O70" i="47"/>
  <c r="G70" i="47"/>
  <c r="S69" i="47"/>
  <c r="K69" i="47"/>
  <c r="C69" i="47"/>
  <c r="O67" i="47"/>
  <c r="G67" i="47"/>
  <c r="S66" i="47"/>
  <c r="K66" i="47"/>
  <c r="C66" i="47"/>
  <c r="O65" i="47"/>
  <c r="G65" i="47"/>
  <c r="S68" i="47"/>
  <c r="K68" i="47"/>
  <c r="C68" i="47"/>
  <c r="O63" i="47"/>
  <c r="G63" i="47"/>
  <c r="S64" i="47"/>
  <c r="K64" i="47"/>
  <c r="C64" i="47"/>
  <c r="O62" i="47"/>
  <c r="G62" i="47"/>
  <c r="S61" i="47"/>
  <c r="K61" i="47"/>
  <c r="C61" i="47"/>
  <c r="O58" i="47"/>
  <c r="G58" i="47"/>
  <c r="S59" i="47"/>
  <c r="K59" i="47"/>
  <c r="C59" i="47"/>
  <c r="O60" i="47"/>
  <c r="G60" i="47"/>
  <c r="S57" i="47"/>
  <c r="K57" i="47"/>
  <c r="C57" i="47"/>
  <c r="O56" i="47"/>
  <c r="G56" i="47"/>
  <c r="K99" i="47"/>
  <c r="C97" i="47"/>
  <c r="M85" i="47"/>
  <c r="E85" i="47"/>
  <c r="Q89" i="47"/>
  <c r="I89" i="47"/>
  <c r="Q93" i="47"/>
  <c r="I93" i="47"/>
  <c r="M94" i="47"/>
  <c r="E94" i="47"/>
  <c r="Q80" i="47"/>
  <c r="I80" i="47"/>
  <c r="E92" i="47"/>
  <c r="Q84" i="47"/>
  <c r="I84" i="47"/>
  <c r="E87" i="47"/>
  <c r="Q83" i="47"/>
  <c r="I83" i="47"/>
  <c r="M82" i="47"/>
  <c r="E82" i="47"/>
  <c r="Q81" i="47"/>
  <c r="I81" i="47"/>
  <c r="M88" i="47"/>
  <c r="E88" i="47"/>
  <c r="Q76" i="47"/>
  <c r="I76" i="47"/>
  <c r="M79" i="47"/>
  <c r="E79" i="47"/>
  <c r="Q74" i="47"/>
  <c r="I74" i="47"/>
  <c r="M91" i="47"/>
  <c r="E91" i="47"/>
  <c r="Q78" i="47"/>
  <c r="I78" i="47"/>
  <c r="M86" i="47"/>
  <c r="E86" i="47"/>
  <c r="Q77" i="47"/>
  <c r="I77" i="47"/>
  <c r="M71" i="47"/>
  <c r="E71" i="47"/>
  <c r="Q73" i="47"/>
  <c r="I73" i="47"/>
  <c r="M75" i="47"/>
  <c r="E75" i="47"/>
  <c r="Q72" i="47"/>
  <c r="I72" i="47"/>
  <c r="M70" i="47"/>
  <c r="E70" i="47"/>
  <c r="Q69" i="47"/>
  <c r="I69" i="47"/>
  <c r="M67" i="47"/>
  <c r="E67" i="47"/>
  <c r="Q66" i="47"/>
  <c r="I66" i="47"/>
  <c r="M65" i="47"/>
  <c r="E65" i="47"/>
  <c r="Q68" i="47"/>
  <c r="I68" i="47"/>
  <c r="M63" i="47"/>
  <c r="E63" i="47"/>
  <c r="Q64" i="47"/>
  <c r="I64" i="47"/>
  <c r="M62" i="47"/>
  <c r="E62" i="47"/>
  <c r="Q61" i="47"/>
  <c r="I61" i="47"/>
  <c r="M58" i="47"/>
  <c r="E58" i="47"/>
  <c r="Q59" i="47"/>
  <c r="I59" i="47"/>
  <c r="M60" i="47"/>
  <c r="E60" i="47"/>
  <c r="Q57" i="47"/>
  <c r="I57" i="47"/>
  <c r="M56" i="47"/>
  <c r="E56" i="47"/>
  <c r="K95" i="47"/>
  <c r="O93" i="47"/>
  <c r="S94" i="47"/>
  <c r="C94" i="47"/>
  <c r="G80" i="47"/>
  <c r="S92" i="47"/>
  <c r="K92" i="47"/>
  <c r="O84" i="47"/>
  <c r="G84" i="47"/>
  <c r="S87" i="47"/>
  <c r="C87" i="47"/>
  <c r="O83" i="47"/>
  <c r="G83" i="47"/>
  <c r="S82" i="47"/>
  <c r="K82" i="47"/>
  <c r="C82" i="47"/>
  <c r="O81" i="47"/>
  <c r="G81" i="47"/>
  <c r="S88" i="47"/>
  <c r="C88" i="47"/>
  <c r="O76" i="47"/>
  <c r="G76" i="47"/>
  <c r="S79" i="47"/>
  <c r="K79" i="47"/>
  <c r="C79" i="47"/>
  <c r="O74" i="47"/>
  <c r="G74" i="47"/>
  <c r="S91" i="47"/>
  <c r="K91" i="47"/>
  <c r="C91" i="47"/>
  <c r="O78" i="47"/>
  <c r="G78" i="47"/>
  <c r="S86" i="47"/>
  <c r="K86" i="47"/>
  <c r="C86" i="47"/>
  <c r="O77" i="47"/>
  <c r="G77" i="47"/>
  <c r="S71" i="47"/>
  <c r="K71" i="47"/>
  <c r="C71" i="47"/>
  <c r="O73" i="47"/>
  <c r="G73" i="47"/>
  <c r="S75" i="47"/>
  <c r="K75" i="47"/>
  <c r="C75" i="47"/>
  <c r="O72" i="47"/>
  <c r="G72" i="47"/>
  <c r="S70" i="47"/>
  <c r="K70" i="47"/>
  <c r="C70" i="47"/>
  <c r="O69" i="47"/>
  <c r="G69" i="47"/>
  <c r="S67" i="47"/>
  <c r="K67" i="47"/>
  <c r="C67" i="47"/>
  <c r="O66" i="47"/>
  <c r="G66" i="47"/>
  <c r="S65" i="47"/>
  <c r="K65" i="47"/>
  <c r="C65" i="47"/>
  <c r="O68" i="47"/>
  <c r="G68" i="47"/>
  <c r="S63" i="47"/>
  <c r="K63" i="47"/>
  <c r="C63" i="47"/>
  <c r="O64" i="47"/>
  <c r="G64" i="47"/>
  <c r="S62" i="47"/>
  <c r="K62" i="47"/>
  <c r="C62" i="47"/>
  <c r="O61" i="47"/>
  <c r="G61" i="47"/>
  <c r="S58" i="47"/>
  <c r="K58" i="47"/>
  <c r="C58" i="47"/>
  <c r="O59" i="47"/>
  <c r="G59" i="47"/>
  <c r="S60" i="47"/>
  <c r="K60" i="47"/>
  <c r="C60" i="47"/>
  <c r="O57" i="47"/>
  <c r="G57" i="47"/>
  <c r="S56" i="47"/>
  <c r="K56" i="47"/>
  <c r="C56" i="47"/>
  <c r="K4" i="47"/>
  <c r="Q4" i="47"/>
  <c r="I4" i="47"/>
  <c r="S4" i="47"/>
  <c r="G4" i="47"/>
  <c r="M4" i="47"/>
  <c r="E4" i="47"/>
  <c r="O4" i="47"/>
  <c r="C4" i="47"/>
  <c r="U4" i="47"/>
  <c r="K6" i="46"/>
  <c r="B8" i="46"/>
  <c r="B6" i="46"/>
  <c r="B9" i="46"/>
  <c r="B5" i="46"/>
  <c r="B7" i="46"/>
  <c r="M6" i="46"/>
  <c r="K4" i="28"/>
  <c r="I5" i="46" l="1"/>
  <c r="I11" i="46"/>
  <c r="M15" i="46"/>
  <c r="M26" i="46"/>
  <c r="M37" i="46"/>
  <c r="M10" i="46"/>
  <c r="M35" i="46"/>
  <c r="M12" i="46"/>
  <c r="M40" i="46"/>
  <c r="M17" i="46"/>
  <c r="M22" i="46"/>
  <c r="M20" i="46"/>
  <c r="M23" i="46"/>
  <c r="M36" i="46"/>
  <c r="M29" i="46"/>
  <c r="M34" i="46"/>
  <c r="M39" i="46"/>
  <c r="M14" i="46"/>
  <c r="M33" i="46"/>
  <c r="M45" i="46"/>
  <c r="M13" i="46"/>
  <c r="M19" i="46"/>
  <c r="M30" i="46"/>
  <c r="M25" i="46"/>
  <c r="M28" i="46"/>
  <c r="M32" i="46"/>
  <c r="M16" i="46"/>
  <c r="M42" i="46"/>
  <c r="M18" i="46"/>
  <c r="M49" i="46"/>
  <c r="M21" i="46"/>
  <c r="M27" i="46"/>
  <c r="M38" i="46"/>
  <c r="M9" i="46"/>
  <c r="K5" i="46"/>
  <c r="I18" i="46"/>
  <c r="I28" i="46"/>
  <c r="I21" i="46"/>
  <c r="I33" i="46"/>
  <c r="I20" i="46"/>
  <c r="I19" i="46"/>
  <c r="I36" i="46"/>
  <c r="I25" i="46"/>
  <c r="I35" i="46"/>
  <c r="I27" i="46"/>
  <c r="I13" i="46"/>
  <c r="I37" i="46"/>
  <c r="I15" i="46"/>
  <c r="I24" i="46"/>
  <c r="I31" i="46"/>
  <c r="I46" i="46"/>
  <c r="I43" i="46"/>
  <c r="I12" i="46"/>
  <c r="I17" i="46"/>
  <c r="I22" i="46"/>
  <c r="I38" i="46"/>
  <c r="I16" i="46"/>
  <c r="I50" i="46"/>
  <c r="I29" i="46"/>
  <c r="I14" i="46"/>
  <c r="I26" i="46"/>
  <c r="I23" i="46"/>
  <c r="I41" i="46"/>
  <c r="I10" i="46"/>
  <c r="I9" i="46"/>
  <c r="G11" i="46"/>
  <c r="G14" i="46"/>
  <c r="G13" i="46"/>
  <c r="G15" i="46"/>
  <c r="G16" i="46"/>
  <c r="G24" i="46"/>
  <c r="G25" i="46"/>
  <c r="G10" i="46"/>
  <c r="G18" i="46"/>
  <c r="G17" i="46"/>
  <c r="G29" i="46"/>
  <c r="G28" i="46"/>
  <c r="G27" i="46"/>
  <c r="G37" i="46"/>
  <c r="G12" i="46"/>
  <c r="G22" i="46"/>
  <c r="G20" i="46"/>
  <c r="G19" i="46"/>
  <c r="G26" i="46"/>
  <c r="G33" i="46"/>
  <c r="G30" i="46"/>
  <c r="G9" i="46"/>
  <c r="K37" i="46"/>
  <c r="K21" i="46"/>
  <c r="K44" i="46"/>
  <c r="K15" i="46"/>
  <c r="K19" i="46"/>
  <c r="K12" i="46"/>
  <c r="K18" i="46"/>
  <c r="K38" i="46"/>
  <c r="K13" i="46"/>
  <c r="K43" i="46"/>
  <c r="K14" i="46"/>
  <c r="K30" i="46"/>
  <c r="K17" i="46"/>
  <c r="K41" i="46"/>
  <c r="K10" i="46"/>
  <c r="K39" i="46"/>
  <c r="K11" i="46"/>
  <c r="K32" i="46"/>
  <c r="K29" i="46"/>
  <c r="K28" i="46"/>
  <c r="K34" i="46"/>
  <c r="K23" i="46"/>
  <c r="K31" i="46"/>
  <c r="K26" i="46"/>
  <c r="K25" i="46"/>
  <c r="K22" i="46"/>
  <c r="K27" i="46"/>
  <c r="K16" i="46"/>
  <c r="K24" i="46"/>
  <c r="K20" i="46"/>
  <c r="E5" i="46"/>
  <c r="E18" i="46"/>
  <c r="E13" i="46"/>
  <c r="E31" i="46"/>
  <c r="E27" i="46"/>
  <c r="E10" i="46"/>
  <c r="E9" i="46"/>
  <c r="E21" i="46"/>
  <c r="E7" i="46"/>
  <c r="E15" i="46"/>
  <c r="E24" i="46"/>
  <c r="E35" i="46"/>
  <c r="E11" i="46"/>
  <c r="E25" i="46"/>
  <c r="E17" i="46"/>
  <c r="E22" i="46"/>
  <c r="B4" i="46"/>
  <c r="C5" i="46" s="1"/>
  <c r="E12" i="46"/>
  <c r="E20" i="46"/>
  <c r="G8" i="46"/>
  <c r="I7" i="46"/>
  <c r="C9" i="46"/>
  <c r="E8" i="46"/>
  <c r="M5" i="46"/>
  <c r="M4" i="46" s="1"/>
  <c r="O43" i="46"/>
  <c r="O35" i="46"/>
  <c r="O45" i="46"/>
  <c r="O38" i="46"/>
  <c r="O34" i="46"/>
  <c r="O11" i="46"/>
  <c r="O27" i="46"/>
  <c r="O26" i="46"/>
  <c r="O52" i="46"/>
  <c r="O23" i="46"/>
  <c r="O51" i="46"/>
  <c r="O24" i="46"/>
  <c r="O25" i="46"/>
  <c r="O12" i="46"/>
  <c r="O28" i="46"/>
  <c r="O48" i="46"/>
  <c r="O22" i="46"/>
  <c r="O20" i="46"/>
  <c r="O44" i="46"/>
  <c r="O19" i="46"/>
  <c r="O41" i="46"/>
  <c r="O16" i="46"/>
  <c r="O47" i="46"/>
  <c r="O42" i="46"/>
  <c r="O46" i="46"/>
  <c r="O21" i="46"/>
  <c r="O39" i="46"/>
  <c r="O14" i="46"/>
  <c r="O13" i="46"/>
  <c r="O37" i="46"/>
  <c r="O15" i="46"/>
  <c r="O36" i="46"/>
  <c r="O10" i="46"/>
  <c r="O32" i="46"/>
  <c r="O29" i="46"/>
  <c r="O18" i="46"/>
  <c r="O40" i="46"/>
  <c r="O17" i="46"/>
  <c r="O33" i="46"/>
  <c r="O31" i="46"/>
  <c r="O30" i="46"/>
  <c r="M8" i="46"/>
  <c r="O6" i="46"/>
  <c r="O4" i="46" s="1"/>
  <c r="I6" i="46"/>
  <c r="I4" i="46" s="1"/>
  <c r="G6" i="46"/>
  <c r="K4" i="46"/>
  <c r="AD11" i="38"/>
  <c r="AD4" i="38"/>
  <c r="AD9" i="38" s="1"/>
  <c r="AE4" i="38"/>
  <c r="AE9" i="38" s="1"/>
  <c r="AF4" i="38"/>
  <c r="AF9" i="38" s="1"/>
  <c r="AD4" i="37"/>
  <c r="AD15" i="37" s="1"/>
  <c r="AE4" i="37"/>
  <c r="AE15" i="37" s="1"/>
  <c r="AF4" i="37"/>
  <c r="AF9" i="37" s="1"/>
  <c r="AF9" i="36"/>
  <c r="AE21" i="36"/>
  <c r="AF19" i="36"/>
  <c r="AF17" i="36"/>
  <c r="AE13" i="36"/>
  <c r="AF11" i="36"/>
  <c r="AF4" i="36"/>
  <c r="AF21" i="36" s="1"/>
  <c r="AE4" i="36"/>
  <c r="AE7" i="36" s="1"/>
  <c r="AD4" i="36"/>
  <c r="AD9" i="36" s="1"/>
  <c r="AA4" i="36"/>
  <c r="AA11" i="36" s="1"/>
  <c r="AF11" i="35"/>
  <c r="AE11" i="35"/>
  <c r="AD11" i="35"/>
  <c r="AF7" i="35"/>
  <c r="AE7" i="35"/>
  <c r="AD7" i="35"/>
  <c r="AF9" i="35"/>
  <c r="AE9" i="35"/>
  <c r="AD9" i="35"/>
  <c r="AD7" i="34"/>
  <c r="AD11" i="34"/>
  <c r="AE9" i="34"/>
  <c r="AF4" i="34"/>
  <c r="AF7" i="34" s="1"/>
  <c r="AE4" i="34"/>
  <c r="AE11" i="34" s="1"/>
  <c r="AD4" i="34"/>
  <c r="AD9" i="34" s="1"/>
  <c r="AA4" i="34"/>
  <c r="AF4" i="33"/>
  <c r="AF33" i="33" s="1"/>
  <c r="AE4" i="33"/>
  <c r="AE7" i="33" s="1"/>
  <c r="AD4" i="33"/>
  <c r="AD25" i="33" s="1"/>
  <c r="AA4" i="33"/>
  <c r="AF7" i="32"/>
  <c r="AF13" i="32"/>
  <c r="AE13" i="32"/>
  <c r="AE7" i="32"/>
  <c r="AD13" i="32"/>
  <c r="AF4" i="32"/>
  <c r="AF9" i="32" s="1"/>
  <c r="AE4" i="32"/>
  <c r="AE11" i="32" s="1"/>
  <c r="AD4" i="32"/>
  <c r="AD11" i="32" s="1"/>
  <c r="AA4" i="32"/>
  <c r="AF13" i="31"/>
  <c r="AF11" i="31"/>
  <c r="AF9" i="31"/>
  <c r="AF7" i="31"/>
  <c r="AE13" i="31"/>
  <c r="AE11" i="31"/>
  <c r="AE9" i="31"/>
  <c r="AE7" i="31"/>
  <c r="AD13" i="31"/>
  <c r="AD11" i="31"/>
  <c r="AD9" i="31"/>
  <c r="AD7" i="31"/>
  <c r="AD7" i="30"/>
  <c r="AF7" i="30"/>
  <c r="AE7" i="30"/>
  <c r="AF21" i="30"/>
  <c r="AE21" i="30"/>
  <c r="AF19" i="30"/>
  <c r="AF17" i="30"/>
  <c r="AE17" i="30"/>
  <c r="AE15" i="30"/>
  <c r="AF15" i="30"/>
  <c r="AF13" i="30"/>
  <c r="AE13" i="30"/>
  <c r="AE11" i="30"/>
  <c r="AF11" i="30"/>
  <c r="AF9" i="30"/>
  <c r="AE9" i="30"/>
  <c r="AD4" i="30"/>
  <c r="AD9" i="30" s="1"/>
  <c r="AC4" i="30"/>
  <c r="AC9" i="30" s="1"/>
  <c r="L20" i="29"/>
  <c r="L18" i="29"/>
  <c r="K18" i="29"/>
  <c r="L14" i="29"/>
  <c r="L12" i="29"/>
  <c r="L10" i="29" s="1"/>
  <c r="K12" i="29"/>
  <c r="L8" i="29"/>
  <c r="L6" i="29"/>
  <c r="L4" i="29" s="1"/>
  <c r="J15" i="28"/>
  <c r="J14" i="28" s="1"/>
  <c r="J13" i="27"/>
  <c r="J12" i="27" s="1"/>
  <c r="K6" i="27"/>
  <c r="K7" i="27"/>
  <c r="K8" i="27"/>
  <c r="K9" i="27"/>
  <c r="K5" i="27"/>
  <c r="I5" i="27"/>
  <c r="K20" i="26"/>
  <c r="K16" i="26"/>
  <c r="J14" i="26"/>
  <c r="K21" i="26" s="1"/>
  <c r="K19" i="28" l="1"/>
  <c r="K18" i="28"/>
  <c r="K16" i="28"/>
  <c r="K20" i="28"/>
  <c r="K17" i="28"/>
  <c r="K21" i="28"/>
  <c r="K15" i="28"/>
  <c r="K14" i="28" s="1"/>
  <c r="K16" i="27"/>
  <c r="K14" i="27"/>
  <c r="K15" i="27"/>
  <c r="K13" i="27"/>
  <c r="AD11" i="36"/>
  <c r="AD15" i="36"/>
  <c r="AD7" i="36"/>
  <c r="K19" i="26"/>
  <c r="AD7" i="32"/>
  <c r="AD5" i="32" s="1"/>
  <c r="AD5" i="34"/>
  <c r="AD13" i="36"/>
  <c r="AE19" i="36"/>
  <c r="AD21" i="36"/>
  <c r="K17" i="26"/>
  <c r="K18" i="26"/>
  <c r="AD9" i="32"/>
  <c r="AE9" i="32"/>
  <c r="AE5" i="32" s="1"/>
  <c r="AF11" i="32"/>
  <c r="AF5" i="32" s="1"/>
  <c r="AE7" i="34"/>
  <c r="AE5" i="34" s="1"/>
  <c r="AE11" i="36"/>
  <c r="AF15" i="36"/>
  <c r="AE17" i="36"/>
  <c r="AD19" i="36"/>
  <c r="AF7" i="36"/>
  <c r="AE9" i="36"/>
  <c r="AE5" i="36" s="1"/>
  <c r="C43" i="46"/>
  <c r="C23" i="46"/>
  <c r="C51" i="46"/>
  <c r="C47" i="46"/>
  <c r="C46" i="46"/>
  <c r="C12" i="46"/>
  <c r="C52" i="46"/>
  <c r="C30" i="46"/>
  <c r="C41" i="46"/>
  <c r="C42" i="46"/>
  <c r="C39" i="46"/>
  <c r="C17" i="46"/>
  <c r="C38" i="46"/>
  <c r="C18" i="46"/>
  <c r="C25" i="46"/>
  <c r="C31" i="46"/>
  <c r="C15" i="46"/>
  <c r="C37" i="46"/>
  <c r="C32" i="46"/>
  <c r="C27" i="46"/>
  <c r="C35" i="46"/>
  <c r="C16" i="46"/>
  <c r="C48" i="46"/>
  <c r="C28" i="46"/>
  <c r="C44" i="46"/>
  <c r="C14" i="46"/>
  <c r="C29" i="46"/>
  <c r="C50" i="46"/>
  <c r="C34" i="46"/>
  <c r="C22" i="46"/>
  <c r="C40" i="46"/>
  <c r="C21" i="46"/>
  <c r="C36" i="46"/>
  <c r="C26" i="46"/>
  <c r="C20" i="46"/>
  <c r="C33" i="46"/>
  <c r="C24" i="46"/>
  <c r="C49" i="46"/>
  <c r="C45" i="46"/>
  <c r="C19" i="46"/>
  <c r="C13" i="46"/>
  <c r="C10" i="46"/>
  <c r="C8" i="46"/>
  <c r="K15" i="26"/>
  <c r="L16" i="29"/>
  <c r="AF13" i="36"/>
  <c r="AE15" i="36"/>
  <c r="AD17" i="36"/>
  <c r="C6" i="46"/>
  <c r="C4" i="46" s="1"/>
  <c r="C11" i="46"/>
  <c r="C7" i="46"/>
  <c r="AE5" i="30"/>
  <c r="AF5" i="30"/>
  <c r="AF7" i="38"/>
  <c r="AE7" i="38"/>
  <c r="AD7" i="38"/>
  <c r="AD5" i="38" s="1"/>
  <c r="AF11" i="38"/>
  <c r="AE11" i="38"/>
  <c r="AE9" i="37"/>
  <c r="AE13" i="37"/>
  <c r="AD9" i="37"/>
  <c r="AD13" i="37"/>
  <c r="AF13" i="37"/>
  <c r="AF7" i="37"/>
  <c r="AF15" i="37"/>
  <c r="AE7" i="37"/>
  <c r="AE11" i="37"/>
  <c r="AD7" i="37"/>
  <c r="AD11" i="37"/>
  <c r="AF5" i="34"/>
  <c r="AF15" i="33"/>
  <c r="AE13" i="33"/>
  <c r="AF19" i="33"/>
  <c r="AF9" i="33"/>
  <c r="AF7" i="33"/>
  <c r="AF11" i="33"/>
  <c r="AF21" i="33"/>
  <c r="AF13" i="33"/>
  <c r="AF25" i="33"/>
  <c r="AD7" i="33"/>
  <c r="AD9" i="33"/>
  <c r="AE19" i="33"/>
  <c r="AE21" i="33"/>
  <c r="AD23" i="33"/>
  <c r="AD29" i="33"/>
  <c r="AD35" i="33"/>
  <c r="AD11" i="33"/>
  <c r="AD13" i="33"/>
  <c r="AD19" i="33"/>
  <c r="AD21" i="33"/>
  <c r="AF23" i="33"/>
  <c r="AF35" i="33"/>
  <c r="AE9" i="33"/>
  <c r="AE23" i="33"/>
  <c r="AE29" i="33"/>
  <c r="AE35" i="33"/>
  <c r="AE15" i="33"/>
  <c r="AE17" i="33"/>
  <c r="AE25" i="33"/>
  <c r="AD27" i="33"/>
  <c r="AD33" i="33"/>
  <c r="AE11" i="33"/>
  <c r="AD15" i="33"/>
  <c r="AD17" i="33"/>
  <c r="AE27" i="33"/>
  <c r="AE33" i="33"/>
  <c r="E4" i="46"/>
  <c r="G4" i="46"/>
  <c r="AD13" i="30"/>
  <c r="AD15" i="30"/>
  <c r="AD17" i="30"/>
  <c r="AD11" i="30"/>
  <c r="AD5" i="30" s="1"/>
  <c r="AD21" i="30"/>
  <c r="AD19" i="30"/>
  <c r="K17" i="27"/>
  <c r="AF5" i="36" l="1"/>
  <c r="K12" i="27"/>
  <c r="AE5" i="38"/>
  <c r="AD5" i="36"/>
  <c r="AF5" i="38"/>
  <c r="K14" i="26"/>
  <c r="AF5" i="37"/>
  <c r="AD5" i="37"/>
  <c r="AE5" i="37"/>
  <c r="AF5" i="33"/>
  <c r="AE5" i="33"/>
  <c r="AD5" i="33"/>
  <c r="J4" i="26"/>
  <c r="T14" i="25"/>
  <c r="S14" i="25"/>
  <c r="O14" i="25"/>
  <c r="R16" i="25"/>
  <c r="R17" i="25"/>
  <c r="U17" i="25" s="1"/>
  <c r="R18" i="25"/>
  <c r="U18" i="25" s="1"/>
  <c r="R19" i="25"/>
  <c r="R15" i="25"/>
  <c r="R14" i="25" s="1"/>
  <c r="R17" i="23"/>
  <c r="R10" i="25"/>
  <c r="R9" i="25"/>
  <c r="R8" i="25"/>
  <c r="R7" i="25"/>
  <c r="R6" i="25"/>
  <c r="T5" i="25"/>
  <c r="S5" i="25"/>
  <c r="U19" i="25" l="1"/>
  <c r="U16" i="25"/>
  <c r="U15" i="25"/>
  <c r="U14" i="25" s="1"/>
  <c r="R5" i="25"/>
  <c r="U6" i="25" s="1"/>
  <c r="K11" i="26"/>
  <c r="K8" i="26"/>
  <c r="K7" i="26"/>
  <c r="K10" i="26"/>
  <c r="K6" i="26"/>
  <c r="K5" i="26"/>
  <c r="K9" i="26"/>
  <c r="H15" i="43"/>
  <c r="I16" i="43" s="1"/>
  <c r="J17" i="43"/>
  <c r="J16" i="43"/>
  <c r="U10" i="25" l="1"/>
  <c r="U8" i="25"/>
  <c r="K4" i="26"/>
  <c r="U7" i="25"/>
  <c r="U9" i="25"/>
  <c r="J15" i="43"/>
  <c r="K17" i="43" s="1"/>
  <c r="K16" i="43" l="1"/>
  <c r="K20" i="43"/>
  <c r="K18" i="43"/>
  <c r="K15" i="43" l="1"/>
  <c r="J15" i="22"/>
  <c r="K19" i="22" s="1"/>
  <c r="H15" i="22"/>
  <c r="I18" i="22" s="1"/>
  <c r="J4" i="22"/>
  <c r="K4" i="22" s="1"/>
  <c r="T16" i="23"/>
  <c r="S16" i="23"/>
  <c r="O16" i="23"/>
  <c r="R18" i="23"/>
  <c r="R19" i="23"/>
  <c r="R20" i="23"/>
  <c r="R21" i="23"/>
  <c r="R22" i="23"/>
  <c r="R23" i="23"/>
  <c r="N17" i="23"/>
  <c r="R16" i="23" l="1"/>
  <c r="U17" i="23" s="1"/>
  <c r="K16" i="22"/>
  <c r="K18" i="22"/>
  <c r="K17" i="22"/>
  <c r="K23" i="22"/>
  <c r="K22" i="22"/>
  <c r="K21" i="22"/>
  <c r="K20" i="22"/>
  <c r="K15" i="22" l="1"/>
  <c r="U22" i="23"/>
  <c r="U23" i="23"/>
  <c r="U18" i="23"/>
  <c r="U20" i="23"/>
  <c r="U19" i="23"/>
  <c r="U21" i="23"/>
  <c r="J14" i="21"/>
  <c r="K20" i="21" s="1"/>
  <c r="H14" i="21"/>
  <c r="I15" i="21" s="1"/>
  <c r="K14" i="20"/>
  <c r="K12" i="20"/>
  <c r="K16" i="20"/>
  <c r="K15" i="20"/>
  <c r="K17" i="20"/>
  <c r="K13" i="20"/>
  <c r="K20" i="19"/>
  <c r="K21" i="19"/>
  <c r="K16" i="19"/>
  <c r="K15" i="19"/>
  <c r="J14" i="19"/>
  <c r="K18" i="19" s="1"/>
  <c r="H14" i="19"/>
  <c r="I15" i="19" s="1"/>
  <c r="R14" i="15"/>
  <c r="N14" i="15"/>
  <c r="R16" i="15"/>
  <c r="U16" i="15" s="1"/>
  <c r="R17" i="15"/>
  <c r="U17" i="15" s="1"/>
  <c r="R18" i="15"/>
  <c r="U18" i="15" s="1"/>
  <c r="R19" i="15"/>
  <c r="U19" i="15" s="1"/>
  <c r="R15" i="15"/>
  <c r="U15" i="15" s="1"/>
  <c r="U14" i="15" s="1"/>
  <c r="N15" i="15"/>
  <c r="Q15" i="15" s="1"/>
  <c r="H14" i="16"/>
  <c r="I15" i="16" s="1"/>
  <c r="J15" i="16"/>
  <c r="J14" i="16" s="1"/>
  <c r="B9" i="18"/>
  <c r="B10" i="18"/>
  <c r="B8" i="18"/>
  <c r="B11" i="18"/>
  <c r="B12" i="18"/>
  <c r="B13" i="18"/>
  <c r="B7" i="18"/>
  <c r="J11" i="14"/>
  <c r="K15" i="14" s="1"/>
  <c r="H11" i="14"/>
  <c r="I12" i="14" s="1"/>
  <c r="V4" i="13"/>
  <c r="X7" i="13"/>
  <c r="X4" i="13" s="1"/>
  <c r="H14" i="12"/>
  <c r="I15" i="12" s="1"/>
  <c r="J21" i="12"/>
  <c r="K21" i="12" s="1"/>
  <c r="J20" i="12"/>
  <c r="J19" i="12"/>
  <c r="J18" i="12"/>
  <c r="K18" i="12" s="1"/>
  <c r="J17" i="12"/>
  <c r="K17" i="12" s="1"/>
  <c r="J16" i="12"/>
  <c r="J15" i="12"/>
  <c r="J14" i="12" s="1"/>
  <c r="H12" i="11"/>
  <c r="I13" i="11" s="1"/>
  <c r="J17" i="11"/>
  <c r="J16" i="11"/>
  <c r="J15" i="11"/>
  <c r="J14" i="11"/>
  <c r="J13" i="11"/>
  <c r="J12" i="11" s="1"/>
  <c r="K17" i="11" s="1"/>
  <c r="J21" i="10"/>
  <c r="K21" i="10" s="1"/>
  <c r="J20" i="10"/>
  <c r="K20" i="10" s="1"/>
  <c r="J19" i="10"/>
  <c r="K19" i="10" s="1"/>
  <c r="J18" i="10"/>
  <c r="K18" i="10" s="1"/>
  <c r="J17" i="10"/>
  <c r="K17" i="10" s="1"/>
  <c r="H14" i="10"/>
  <c r="I15" i="10" s="1"/>
  <c r="J16" i="10"/>
  <c r="K16" i="10" s="1"/>
  <c r="J15" i="10"/>
  <c r="J14" i="10" s="1"/>
  <c r="K14" i="10" l="1"/>
  <c r="K19" i="12"/>
  <c r="K14" i="11"/>
  <c r="K15" i="11"/>
  <c r="K16" i="11"/>
  <c r="K16" i="12"/>
  <c r="K20" i="12"/>
  <c r="K15" i="10"/>
  <c r="K13" i="11"/>
  <c r="K15" i="12"/>
  <c r="K14" i="14"/>
  <c r="K13" i="14"/>
  <c r="K12" i="14"/>
  <c r="I17" i="19"/>
  <c r="K19" i="19"/>
  <c r="U16" i="23"/>
  <c r="K17" i="19"/>
  <c r="K17" i="21"/>
  <c r="K19" i="21"/>
  <c r="K18" i="21"/>
  <c r="K15" i="21"/>
  <c r="K16" i="21"/>
  <c r="K21" i="21"/>
  <c r="K16" i="16"/>
  <c r="K17" i="16"/>
  <c r="K18" i="16"/>
  <c r="K19" i="16"/>
  <c r="K20" i="16"/>
  <c r="K15" i="16"/>
  <c r="Y19" i="13"/>
  <c r="Y26" i="13"/>
  <c r="Y21" i="13"/>
  <c r="Y20" i="13"/>
  <c r="Y22" i="13"/>
  <c r="Y25" i="13"/>
  <c r="W7" i="13"/>
  <c r="W26" i="13"/>
  <c r="W25" i="13"/>
  <c r="Y15" i="13"/>
  <c r="K14" i="19"/>
  <c r="Y6" i="13"/>
  <c r="Y17" i="13"/>
  <c r="Y28" i="13"/>
  <c r="Y23" i="13"/>
  <c r="Y7" i="13"/>
  <c r="Y35" i="13"/>
  <c r="Y27" i="13"/>
  <c r="Y36" i="13"/>
  <c r="Y33" i="13"/>
  <c r="Y24" i="13"/>
  <c r="Y13" i="13"/>
  <c r="Y34" i="13"/>
  <c r="Y30" i="13"/>
  <c r="Y14" i="13"/>
  <c r="Y32" i="13"/>
  <c r="Y29" i="13"/>
  <c r="Y12" i="13"/>
  <c r="Y16" i="13"/>
  <c r="Y5" i="13"/>
  <c r="Y31" i="13"/>
  <c r="Y18" i="13"/>
  <c r="Y11" i="13"/>
  <c r="Y8" i="13"/>
  <c r="Y10" i="13"/>
  <c r="Y9" i="13"/>
  <c r="K11" i="14" l="1"/>
  <c r="K12" i="11"/>
  <c r="K14" i="12"/>
  <c r="K14" i="21"/>
  <c r="K14" i="16"/>
  <c r="Y4" i="13"/>
  <c r="R19" i="9"/>
  <c r="P14" i="9"/>
  <c r="S19" i="9"/>
  <c r="T19" i="9"/>
  <c r="S18" i="9"/>
  <c r="R18" i="9" s="1"/>
  <c r="T18" i="9"/>
  <c r="T17" i="9"/>
  <c r="S17" i="9"/>
  <c r="R17" i="9" s="1"/>
  <c r="T15" i="9"/>
  <c r="T14" i="9" s="1"/>
  <c r="S15" i="9"/>
  <c r="S14" i="9" s="1"/>
  <c r="R14" i="9" s="1"/>
  <c r="T16" i="9"/>
  <c r="S16" i="9"/>
  <c r="R16" i="9" s="1"/>
  <c r="U16" i="9" s="1"/>
  <c r="U18" i="9" l="1"/>
  <c r="U19" i="9"/>
  <c r="U17" i="9"/>
  <c r="R15" i="9"/>
  <c r="U15" i="9" s="1"/>
  <c r="U14" i="9" s="1"/>
  <c r="I17" i="8"/>
  <c r="H16" i="8"/>
  <c r="J17" i="8"/>
  <c r="J16" i="8" s="1"/>
  <c r="K21" i="8" s="1"/>
  <c r="J22" i="8"/>
  <c r="J18" i="8"/>
  <c r="J19" i="8"/>
  <c r="J20" i="8"/>
  <c r="K18" i="8" l="1"/>
  <c r="K17" i="8"/>
  <c r="K24" i="8"/>
  <c r="K23" i="8"/>
  <c r="K22" i="8"/>
  <c r="K20" i="8"/>
  <c r="K19" i="8"/>
  <c r="K25" i="8"/>
  <c r="K23" i="6"/>
  <c r="K24" i="6"/>
  <c r="K20" i="6"/>
  <c r="J25" i="6"/>
  <c r="K25" i="6" s="1"/>
  <c r="J24" i="6"/>
  <c r="J23" i="6"/>
  <c r="J22" i="6"/>
  <c r="K22" i="6" s="1"/>
  <c r="J21" i="6"/>
  <c r="K21" i="6" s="1"/>
  <c r="J20" i="6"/>
  <c r="K16" i="8" l="1"/>
  <c r="K17" i="6" l="1"/>
  <c r="J18" i="6"/>
  <c r="K18" i="6" s="1"/>
  <c r="J17" i="6"/>
  <c r="T36" i="4"/>
  <c r="T35" i="4"/>
  <c r="T32" i="4"/>
  <c r="T31" i="4"/>
  <c r="T23" i="4"/>
  <c r="T28" i="4"/>
  <c r="T26" i="4"/>
  <c r="T25" i="4"/>
  <c r="T24" i="4"/>
  <c r="T21" i="4"/>
  <c r="T22" i="4"/>
  <c r="T20" i="4"/>
  <c r="T17" i="4"/>
  <c r="T14" i="4"/>
  <c r="T19" i="4"/>
  <c r="T16" i="4"/>
  <c r="T18" i="4"/>
  <c r="T15" i="4"/>
  <c r="T13" i="4"/>
  <c r="T11" i="4"/>
  <c r="T12" i="4"/>
  <c r="T10" i="4"/>
  <c r="T9" i="4"/>
  <c r="T7" i="4"/>
  <c r="T8" i="4"/>
  <c r="T6" i="4"/>
  <c r="T5" i="4"/>
  <c r="T4" i="4" l="1"/>
  <c r="U43" i="4" s="1"/>
  <c r="K16" i="6"/>
  <c r="M15" i="5"/>
  <c r="K15" i="5"/>
  <c r="H15" i="5"/>
  <c r="C15" i="5"/>
  <c r="K14" i="5"/>
  <c r="K13" i="5"/>
  <c r="K12" i="5"/>
  <c r="K11" i="5"/>
  <c r="K10" i="5"/>
  <c r="K9" i="5"/>
  <c r="K8" i="5"/>
  <c r="K7" i="5"/>
  <c r="K6" i="5"/>
  <c r="H6" i="5"/>
  <c r="H14" i="5"/>
  <c r="H13" i="5"/>
  <c r="H12" i="5"/>
  <c r="H11" i="5"/>
  <c r="H10" i="5"/>
  <c r="H9" i="5"/>
  <c r="H8" i="5"/>
  <c r="H7" i="5"/>
  <c r="D15" i="5"/>
  <c r="D14" i="5"/>
  <c r="C14" i="5"/>
  <c r="B14" i="5"/>
  <c r="L14" i="5" s="1"/>
  <c r="E25" i="3"/>
  <c r="U37" i="4" l="1"/>
  <c r="U16" i="4"/>
  <c r="U15" i="4"/>
  <c r="U48" i="4"/>
  <c r="U25" i="4"/>
  <c r="U30" i="4"/>
  <c r="U11" i="4"/>
  <c r="U52" i="4"/>
  <c r="U8" i="4"/>
  <c r="U36" i="4"/>
  <c r="U32" i="4"/>
  <c r="U35" i="4"/>
  <c r="U20" i="4"/>
  <c r="U28" i="4"/>
  <c r="U18" i="4"/>
  <c r="U46" i="4"/>
  <c r="U41" i="4"/>
  <c r="U39" i="4"/>
  <c r="U23" i="4"/>
  <c r="U12" i="4"/>
  <c r="U19" i="4"/>
  <c r="U24" i="4"/>
  <c r="U5" i="4"/>
  <c r="U26" i="4"/>
  <c r="U49" i="4"/>
  <c r="U38" i="4"/>
  <c r="U34" i="4"/>
  <c r="U42" i="4"/>
  <c r="U10" i="4"/>
  <c r="U31" i="4"/>
  <c r="U7" i="4"/>
  <c r="U9" i="4"/>
  <c r="U14" i="4"/>
  <c r="U47" i="4"/>
  <c r="U13" i="4"/>
  <c r="U29" i="4"/>
  <c r="U44" i="4"/>
  <c r="U50" i="4"/>
  <c r="U21" i="4"/>
  <c r="U22" i="4"/>
  <c r="U33" i="4"/>
  <c r="U27" i="4"/>
  <c r="U40" i="4"/>
  <c r="U51" i="4"/>
  <c r="U17" i="4"/>
  <c r="U45" i="4"/>
  <c r="U6" i="4"/>
  <c r="B15" i="5"/>
  <c r="L15" i="5" s="1"/>
  <c r="I14" i="5"/>
  <c r="F14" i="5" s="1"/>
  <c r="G6" i="1"/>
  <c r="F6" i="1"/>
  <c r="I15" i="5" l="1"/>
  <c r="F15" i="5" s="1"/>
  <c r="U4" i="4"/>
  <c r="C23" i="43"/>
  <c r="C22" i="43"/>
  <c r="C20" i="43"/>
  <c r="C21" i="43"/>
  <c r="C19" i="43"/>
  <c r="C18" i="43"/>
  <c r="C17" i="43"/>
  <c r="C16" i="43"/>
  <c r="F15" i="43"/>
  <c r="G22" i="43" s="1"/>
  <c r="D15" i="43"/>
  <c r="E20" i="43" s="1"/>
  <c r="I12" i="43"/>
  <c r="G12" i="43"/>
  <c r="E12" i="43"/>
  <c r="C12" i="43"/>
  <c r="I11" i="43"/>
  <c r="G11" i="43"/>
  <c r="E11" i="43"/>
  <c r="C11" i="43"/>
  <c r="I9" i="43"/>
  <c r="G9" i="43"/>
  <c r="E9" i="43"/>
  <c r="C9" i="43"/>
  <c r="I10" i="43"/>
  <c r="G10" i="43"/>
  <c r="E10" i="43"/>
  <c r="C10" i="43"/>
  <c r="I8" i="43"/>
  <c r="G8" i="43"/>
  <c r="E8" i="43"/>
  <c r="C8" i="43"/>
  <c r="I7" i="43"/>
  <c r="G7" i="43"/>
  <c r="E7" i="43"/>
  <c r="C7" i="43"/>
  <c r="I6" i="43"/>
  <c r="G6" i="43"/>
  <c r="E6" i="43"/>
  <c r="C6" i="43"/>
  <c r="G5" i="43"/>
  <c r="E5" i="43"/>
  <c r="C5" i="43"/>
  <c r="I23" i="43" l="1"/>
  <c r="C4" i="43"/>
  <c r="G18" i="43"/>
  <c r="G20" i="43"/>
  <c r="E4" i="43"/>
  <c r="G4" i="43"/>
  <c r="I4" i="43"/>
  <c r="C15" i="43"/>
  <c r="G19" i="43"/>
  <c r="E21" i="43"/>
  <c r="I22" i="43"/>
  <c r="E19" i="43"/>
  <c r="G21" i="43"/>
  <c r="I20" i="43"/>
  <c r="E17" i="43"/>
  <c r="E23" i="43"/>
  <c r="I18" i="43"/>
  <c r="E18" i="43"/>
  <c r="I21" i="43"/>
  <c r="I19" i="43"/>
  <c r="E16" i="43"/>
  <c r="G17" i="43"/>
  <c r="E22" i="43"/>
  <c r="G23" i="43"/>
  <c r="G16" i="43"/>
  <c r="I17" i="43"/>
  <c r="K4" i="43" l="1"/>
  <c r="E15" i="43"/>
  <c r="I15" i="43"/>
  <c r="G15" i="43"/>
  <c r="G12" i="41" l="1"/>
  <c r="D12" i="41"/>
  <c r="G11" i="41"/>
  <c r="D11" i="41"/>
  <c r="G10" i="41"/>
  <c r="D10" i="41"/>
  <c r="G9" i="41"/>
  <c r="D9" i="41"/>
  <c r="G8" i="41"/>
  <c r="D8" i="41"/>
  <c r="G7" i="41"/>
  <c r="D7" i="41"/>
  <c r="G6" i="41"/>
  <c r="D6" i="41"/>
  <c r="G5" i="41"/>
  <c r="D5" i="41"/>
  <c r="G13" i="41"/>
  <c r="D13" i="41"/>
  <c r="H6" i="40" l="1"/>
  <c r="I6" i="40"/>
  <c r="J6" i="40"/>
  <c r="K6" i="40"/>
  <c r="H8" i="40"/>
  <c r="H4" i="40" s="1"/>
  <c r="I8" i="40"/>
  <c r="J8" i="40"/>
  <c r="K8" i="40"/>
  <c r="R4" i="38"/>
  <c r="R9" i="38" s="1"/>
  <c r="S4" i="38"/>
  <c r="S9" i="38" s="1"/>
  <c r="T4" i="38"/>
  <c r="T9" i="38" s="1"/>
  <c r="U4" i="38"/>
  <c r="U7" i="38" s="1"/>
  <c r="V4" i="38"/>
  <c r="V9" i="38" s="1"/>
  <c r="W4" i="38"/>
  <c r="W9" i="38" s="1"/>
  <c r="X4" i="38"/>
  <c r="Y4" i="38"/>
  <c r="Y11" i="38" s="1"/>
  <c r="Z4" i="38"/>
  <c r="Z11" i="38" s="1"/>
  <c r="AA4" i="38"/>
  <c r="AA7" i="38" s="1"/>
  <c r="AB4" i="38"/>
  <c r="AB9" i="38" s="1"/>
  <c r="AC4" i="38"/>
  <c r="AC9" i="38" s="1"/>
  <c r="AC7" i="38"/>
  <c r="R4" i="37"/>
  <c r="R7" i="37" s="1"/>
  <c r="S4" i="37"/>
  <c r="S9" i="37" s="1"/>
  <c r="T4" i="37"/>
  <c r="U4" i="37"/>
  <c r="V4" i="37"/>
  <c r="V15" i="37" s="1"/>
  <c r="W4" i="37"/>
  <c r="W9" i="37" s="1"/>
  <c r="X4" i="37"/>
  <c r="X11" i="37" s="1"/>
  <c r="Y4" i="37"/>
  <c r="Y9" i="37" s="1"/>
  <c r="Z4" i="37"/>
  <c r="Z9" i="37" s="1"/>
  <c r="AA4" i="37"/>
  <c r="AB4" i="37"/>
  <c r="AC4" i="37"/>
  <c r="X7" i="37"/>
  <c r="Y7" i="37"/>
  <c r="R11" i="37"/>
  <c r="Z11" i="37"/>
  <c r="R13" i="37"/>
  <c r="R15" i="37"/>
  <c r="R4" i="36"/>
  <c r="R7" i="36" s="1"/>
  <c r="S4" i="36"/>
  <c r="S13" i="36" s="1"/>
  <c r="T4" i="36"/>
  <c r="T7" i="36" s="1"/>
  <c r="U4" i="36"/>
  <c r="U7" i="36" s="1"/>
  <c r="V4" i="36"/>
  <c r="V9" i="36" s="1"/>
  <c r="W4" i="36"/>
  <c r="W13" i="36" s="1"/>
  <c r="X4" i="36"/>
  <c r="X9" i="36" s="1"/>
  <c r="Y4" i="36"/>
  <c r="Y19" i="36" s="1"/>
  <c r="Z4" i="36"/>
  <c r="Z17" i="36" s="1"/>
  <c r="AA9" i="36"/>
  <c r="AB4" i="36"/>
  <c r="AB11" i="36" s="1"/>
  <c r="AC4" i="36"/>
  <c r="AC7" i="36" s="1"/>
  <c r="V11" i="36"/>
  <c r="V19" i="36"/>
  <c r="W19" i="36"/>
  <c r="R4" i="34"/>
  <c r="R9" i="34" s="1"/>
  <c r="S4" i="34"/>
  <c r="S7" i="34" s="1"/>
  <c r="T4" i="34"/>
  <c r="T7" i="34" s="1"/>
  <c r="U4" i="34"/>
  <c r="U9" i="34" s="1"/>
  <c r="V4" i="34"/>
  <c r="W4" i="34"/>
  <c r="W7" i="34" s="1"/>
  <c r="X4" i="34"/>
  <c r="X9" i="34" s="1"/>
  <c r="Y4" i="34"/>
  <c r="Y9" i="34" s="1"/>
  <c r="Z4" i="34"/>
  <c r="Z7" i="34" s="1"/>
  <c r="AA7" i="34"/>
  <c r="AB4" i="34"/>
  <c r="AC4" i="34"/>
  <c r="AC9" i="34" s="1"/>
  <c r="R7" i="34"/>
  <c r="Z9" i="34"/>
  <c r="R11" i="34"/>
  <c r="R4" i="33"/>
  <c r="R35" i="33" s="1"/>
  <c r="S4" i="33"/>
  <c r="S15" i="33" s="1"/>
  <c r="T4" i="33"/>
  <c r="T7" i="33" s="1"/>
  <c r="U4" i="33"/>
  <c r="U29" i="33" s="1"/>
  <c r="V4" i="33"/>
  <c r="V17" i="33" s="1"/>
  <c r="W4" i="33"/>
  <c r="W35" i="33" s="1"/>
  <c r="X4" i="33"/>
  <c r="X27" i="33" s="1"/>
  <c r="Y4" i="33"/>
  <c r="Y29" i="33" s="1"/>
  <c r="Z4" i="33"/>
  <c r="Z25" i="33" s="1"/>
  <c r="AB4" i="33"/>
  <c r="AB7" i="33" s="1"/>
  <c r="AC4" i="33"/>
  <c r="R4" i="32"/>
  <c r="R7" i="32" s="1"/>
  <c r="S4" i="32"/>
  <c r="S9" i="32" s="1"/>
  <c r="T4" i="32"/>
  <c r="T11" i="32" s="1"/>
  <c r="U4" i="32"/>
  <c r="U11" i="32" s="1"/>
  <c r="V4" i="32"/>
  <c r="V7" i="32" s="1"/>
  <c r="W4" i="32"/>
  <c r="W11" i="32" s="1"/>
  <c r="X4" i="32"/>
  <c r="X7" i="32" s="1"/>
  <c r="Y4" i="32"/>
  <c r="Y13" i="32" s="1"/>
  <c r="Z4" i="32"/>
  <c r="Z7" i="32" s="1"/>
  <c r="AA9" i="32"/>
  <c r="AB4" i="32"/>
  <c r="AB11" i="32" s="1"/>
  <c r="AC4" i="32"/>
  <c r="AC11" i="32" s="1"/>
  <c r="Y11" i="32"/>
  <c r="Z11" i="32"/>
  <c r="AA11" i="32"/>
  <c r="T15" i="32"/>
  <c r="U15" i="32"/>
  <c r="R4" i="30"/>
  <c r="R11" i="30" s="1"/>
  <c r="S4" i="30"/>
  <c r="S13" i="30" s="1"/>
  <c r="U4" i="30"/>
  <c r="U7" i="30" s="1"/>
  <c r="V4" i="30"/>
  <c r="V15" i="30" s="1"/>
  <c r="W4" i="30"/>
  <c r="W9" i="30" s="1"/>
  <c r="X4" i="30"/>
  <c r="X15" i="30" s="1"/>
  <c r="Y4" i="30"/>
  <c r="Y17" i="30" s="1"/>
  <c r="Z4" i="30"/>
  <c r="Z17" i="30" s="1"/>
  <c r="AA4" i="30"/>
  <c r="AB4" i="30"/>
  <c r="W7" i="30"/>
  <c r="Y7" i="30"/>
  <c r="Z7" i="30"/>
  <c r="AC7" i="30"/>
  <c r="Y9" i="30"/>
  <c r="AC15" i="30"/>
  <c r="AC19" i="30"/>
  <c r="H3" i="29"/>
  <c r="H8" i="29" s="1"/>
  <c r="I3" i="29"/>
  <c r="I8" i="29" s="1"/>
  <c r="J3" i="29"/>
  <c r="J8" i="29" s="1"/>
  <c r="K3" i="29"/>
  <c r="K6" i="29" s="1"/>
  <c r="H12" i="29"/>
  <c r="H10" i="29" s="1"/>
  <c r="I12" i="29"/>
  <c r="J12" i="29"/>
  <c r="H14" i="29"/>
  <c r="I14" i="29"/>
  <c r="J14" i="29"/>
  <c r="K14" i="29"/>
  <c r="K10" i="29" s="1"/>
  <c r="H18" i="29"/>
  <c r="I18" i="29"/>
  <c r="J18" i="29"/>
  <c r="K16" i="29"/>
  <c r="H20" i="29"/>
  <c r="I20" i="29"/>
  <c r="J20" i="29"/>
  <c r="K20" i="29"/>
  <c r="U15" i="30" l="1"/>
  <c r="AB11" i="34"/>
  <c r="AB7" i="34"/>
  <c r="K4" i="40"/>
  <c r="X13" i="32"/>
  <c r="Z9" i="32"/>
  <c r="X15" i="37"/>
  <c r="AC11" i="38"/>
  <c r="T9" i="32"/>
  <c r="S11" i="34"/>
  <c r="U21" i="30"/>
  <c r="AB9" i="30"/>
  <c r="AB7" i="30"/>
  <c r="U13" i="30"/>
  <c r="AA21" i="30"/>
  <c r="AA9" i="30"/>
  <c r="X19" i="30"/>
  <c r="U11" i="30"/>
  <c r="X7" i="30"/>
  <c r="U19" i="30"/>
  <c r="U17" i="30"/>
  <c r="U9" i="30"/>
  <c r="U9" i="38"/>
  <c r="Z9" i="38"/>
  <c r="Y11" i="37"/>
  <c r="W15" i="37"/>
  <c r="AC19" i="33"/>
  <c r="AC25" i="33"/>
  <c r="V11" i="38"/>
  <c r="Y7" i="38"/>
  <c r="V7" i="38"/>
  <c r="W11" i="38"/>
  <c r="Z7" i="38"/>
  <c r="Z5" i="38" s="1"/>
  <c r="Z7" i="37"/>
  <c r="AB7" i="36"/>
  <c r="Y9" i="32"/>
  <c r="AB19" i="30"/>
  <c r="U11" i="38"/>
  <c r="U5" i="38" s="1"/>
  <c r="X11" i="32"/>
  <c r="AB9" i="33"/>
  <c r="AB31" i="33"/>
  <c r="Y15" i="36"/>
  <c r="W7" i="36"/>
  <c r="AA21" i="33"/>
  <c r="AA31" i="33"/>
  <c r="Z11" i="36"/>
  <c r="AA9" i="38"/>
  <c r="J4" i="40"/>
  <c r="Z21" i="30"/>
  <c r="S9" i="34"/>
  <c r="Y11" i="36"/>
  <c r="V11" i="37"/>
  <c r="I4" i="40"/>
  <c r="AB11" i="30"/>
  <c r="Y21" i="30"/>
  <c r="W11" i="36"/>
  <c r="S11" i="37"/>
  <c r="Y9" i="38"/>
  <c r="Y5" i="38" s="1"/>
  <c r="Y21" i="36"/>
  <c r="AC9" i="37"/>
  <c r="AC15" i="37"/>
  <c r="AC13" i="37"/>
  <c r="AB13" i="37"/>
  <c r="AB15" i="37"/>
  <c r="AA9" i="37"/>
  <c r="AA13" i="37"/>
  <c r="AA15" i="37"/>
  <c r="AA11" i="37"/>
  <c r="R11" i="32"/>
  <c r="R9" i="32"/>
  <c r="T7" i="32"/>
  <c r="W31" i="33"/>
  <c r="W9" i="33"/>
  <c r="S29" i="33"/>
  <c r="V19" i="33"/>
  <c r="R17" i="33"/>
  <c r="X23" i="33"/>
  <c r="AB13" i="33"/>
  <c r="V23" i="33"/>
  <c r="X19" i="33"/>
  <c r="V31" i="33"/>
  <c r="V21" i="33"/>
  <c r="T29" i="33"/>
  <c r="W19" i="33"/>
  <c r="AB11" i="33"/>
  <c r="AC13" i="33"/>
  <c r="AC33" i="33"/>
  <c r="W7" i="33"/>
  <c r="AB33" i="33"/>
  <c r="W23" i="33"/>
  <c r="T21" i="33"/>
  <c r="Y9" i="33"/>
  <c r="V7" i="33"/>
  <c r="S31" i="33"/>
  <c r="S25" i="33"/>
  <c r="AA35" i="33"/>
  <c r="S21" i="33"/>
  <c r="Y7" i="33"/>
  <c r="X11" i="36"/>
  <c r="S15" i="37"/>
  <c r="AB11" i="38"/>
  <c r="AA11" i="38"/>
  <c r="V11" i="32"/>
  <c r="X15" i="33"/>
  <c r="W13" i="33"/>
  <c r="X11" i="33"/>
  <c r="R7" i="38"/>
  <c r="S19" i="30"/>
  <c r="AA15" i="30"/>
  <c r="AA13" i="30"/>
  <c r="Z11" i="30"/>
  <c r="U5" i="30"/>
  <c r="V9" i="32"/>
  <c r="Z35" i="33"/>
  <c r="Z13" i="30"/>
  <c r="Y35" i="33"/>
  <c r="Y15" i="33"/>
  <c r="X13" i="33"/>
  <c r="X7" i="36"/>
  <c r="Y13" i="30"/>
  <c r="S9" i="30"/>
  <c r="V13" i="32"/>
  <c r="J10" i="29"/>
  <c r="W15" i="30"/>
  <c r="W7" i="37"/>
  <c r="AA11" i="30"/>
  <c r="Y15" i="30"/>
  <c r="Y11" i="30"/>
  <c r="AA15" i="32"/>
  <c r="T13" i="32"/>
  <c r="AA7" i="32"/>
  <c r="Y33" i="33"/>
  <c r="V29" i="33"/>
  <c r="V27" i="33"/>
  <c r="V25" i="33"/>
  <c r="W17" i="33"/>
  <c r="V15" i="33"/>
  <c r="V11" i="33"/>
  <c r="Z11" i="34"/>
  <c r="Z5" i="34" s="1"/>
  <c r="Z9" i="36"/>
  <c r="Z15" i="37"/>
  <c r="W13" i="37"/>
  <c r="V9" i="37"/>
  <c r="V7" i="37"/>
  <c r="U13" i="32"/>
  <c r="W29" i="33"/>
  <c r="Z27" i="33"/>
  <c r="W25" i="33"/>
  <c r="R19" i="33"/>
  <c r="W15" i="33"/>
  <c r="W11" i="33"/>
  <c r="AA11" i="34"/>
  <c r="AC7" i="34"/>
  <c r="W15" i="36"/>
  <c r="V7" i="36"/>
  <c r="I16" i="29"/>
  <c r="I10" i="29"/>
  <c r="AA19" i="30"/>
  <c r="S11" i="30"/>
  <c r="H16" i="29"/>
  <c r="Y19" i="30"/>
  <c r="S17" i="30"/>
  <c r="AC11" i="30"/>
  <c r="V15" i="32"/>
  <c r="R13" i="32"/>
  <c r="W33" i="33"/>
  <c r="T25" i="33"/>
  <c r="W21" i="33"/>
  <c r="Z9" i="33"/>
  <c r="Y11" i="34"/>
  <c r="Y7" i="34"/>
  <c r="Z21" i="36"/>
  <c r="Y9" i="36"/>
  <c r="Y15" i="37"/>
  <c r="V13" i="37"/>
  <c r="W11" i="37"/>
  <c r="R9" i="37"/>
  <c r="R5" i="37" s="1"/>
  <c r="V17" i="30"/>
  <c r="U9" i="32"/>
  <c r="U7" i="32"/>
  <c r="AA27" i="33"/>
  <c r="AB17" i="33"/>
  <c r="AC11" i="33"/>
  <c r="AC7" i="33"/>
  <c r="V9" i="33"/>
  <c r="V13" i="33"/>
  <c r="AC11" i="34"/>
  <c r="R5" i="34"/>
  <c r="S17" i="36"/>
  <c r="AC13" i="36"/>
  <c r="AC15" i="36"/>
  <c r="AB7" i="38"/>
  <c r="X9" i="38"/>
  <c r="X7" i="38"/>
  <c r="X11" i="38"/>
  <c r="AC11" i="37"/>
  <c r="U9" i="37"/>
  <c r="U15" i="37"/>
  <c r="U11" i="37"/>
  <c r="AB11" i="37"/>
  <c r="AB7" i="37"/>
  <c r="AB9" i="37"/>
  <c r="T9" i="37"/>
  <c r="T11" i="37"/>
  <c r="T7" i="37"/>
  <c r="T15" i="37"/>
  <c r="V9" i="34"/>
  <c r="V11" i="34"/>
  <c r="S19" i="36"/>
  <c r="S15" i="36"/>
  <c r="U7" i="37"/>
  <c r="V33" i="33"/>
  <c r="S9" i="33"/>
  <c r="X11" i="34"/>
  <c r="AB9" i="34"/>
  <c r="AB5" i="34" s="1"/>
  <c r="T21" i="36"/>
  <c r="V9" i="30"/>
  <c r="V7" i="30"/>
  <c r="U13" i="33"/>
  <c r="U21" i="33"/>
  <c r="AB9" i="36"/>
  <c r="AB15" i="36"/>
  <c r="T15" i="36"/>
  <c r="T11" i="36"/>
  <c r="T13" i="36"/>
  <c r="V21" i="30"/>
  <c r="AB25" i="33"/>
  <c r="AB35" i="33"/>
  <c r="W9" i="34"/>
  <c r="W11" i="34"/>
  <c r="W5" i="34" s="1"/>
  <c r="Z15" i="36"/>
  <c r="Z7" i="36"/>
  <c r="AB9" i="32"/>
  <c r="AB7" i="32"/>
  <c r="S27" i="33"/>
  <c r="AB21" i="33"/>
  <c r="U15" i="33"/>
  <c r="T9" i="33"/>
  <c r="Z7" i="33"/>
  <c r="Z15" i="33"/>
  <c r="R27" i="33"/>
  <c r="R15" i="33"/>
  <c r="X7" i="34"/>
  <c r="Y7" i="36"/>
  <c r="Y13" i="36"/>
  <c r="AB21" i="30"/>
  <c r="Z13" i="32"/>
  <c r="Z15" i="32"/>
  <c r="S21" i="36"/>
  <c r="Y17" i="36"/>
  <c r="Z13" i="36"/>
  <c r="S11" i="36"/>
  <c r="S7" i="36"/>
  <c r="AC29" i="33"/>
  <c r="AC23" i="33"/>
  <c r="T27" i="33"/>
  <c r="AC21" i="33"/>
  <c r="AA23" i="33"/>
  <c r="AA7" i="33"/>
  <c r="AA15" i="33"/>
  <c r="J16" i="29"/>
  <c r="S21" i="30"/>
  <c r="W19" i="30"/>
  <c r="AA17" i="30"/>
  <c r="S7" i="30"/>
  <c r="Z15" i="30"/>
  <c r="Z19" i="30"/>
  <c r="R21" i="30"/>
  <c r="R15" i="30"/>
  <c r="R19" i="30"/>
  <c r="V35" i="33"/>
  <c r="AB19" i="33"/>
  <c r="T15" i="33"/>
  <c r="R11" i="33"/>
  <c r="U7" i="33"/>
  <c r="K8" i="29"/>
  <c r="K4" i="29" s="1"/>
  <c r="V19" i="30"/>
  <c r="W11" i="30"/>
  <c r="AA7" i="30"/>
  <c r="R7" i="30"/>
  <c r="AB13" i="32"/>
  <c r="T35" i="33"/>
  <c r="S33" i="33"/>
  <c r="AB29" i="33"/>
  <c r="AB23" i="33"/>
  <c r="Y25" i="33"/>
  <c r="Z21" i="33"/>
  <c r="AC15" i="33"/>
  <c r="U11" i="34"/>
  <c r="T9" i="34"/>
  <c r="V7" i="34"/>
  <c r="AC7" i="37"/>
  <c r="X9" i="37"/>
  <c r="X13" i="37"/>
  <c r="T11" i="38"/>
  <c r="T7" i="38"/>
  <c r="AB15" i="30"/>
  <c r="S15" i="30"/>
  <c r="V11" i="30"/>
  <c r="Z9" i="30"/>
  <c r="X9" i="30"/>
  <c r="X11" i="30"/>
  <c r="AB15" i="32"/>
  <c r="AA13" i="32"/>
  <c r="S11" i="32"/>
  <c r="S35" i="33"/>
  <c r="AB27" i="33"/>
  <c r="Y21" i="33"/>
  <c r="AC17" i="33"/>
  <c r="AB15" i="33"/>
  <c r="AC9" i="33"/>
  <c r="S7" i="33"/>
  <c r="T11" i="34"/>
  <c r="S5" i="34"/>
  <c r="U7" i="34"/>
  <c r="U5" i="34" s="1"/>
  <c r="AC19" i="36"/>
  <c r="T17" i="36"/>
  <c r="R11" i="36"/>
  <c r="S11" i="38"/>
  <c r="S7" i="38"/>
  <c r="AC5" i="38"/>
  <c r="R11" i="38"/>
  <c r="R5" i="38" s="1"/>
  <c r="AA9" i="34"/>
  <c r="AA5" i="34" s="1"/>
  <c r="AA7" i="37"/>
  <c r="S7" i="37"/>
  <c r="W7" i="38"/>
  <c r="V5" i="38"/>
  <c r="J6" i="29"/>
  <c r="J4" i="29" s="1"/>
  <c r="AC9" i="32"/>
  <c r="AC13" i="32"/>
  <c r="W9" i="32"/>
  <c r="W13" i="32"/>
  <c r="X21" i="30"/>
  <c r="X17" i="30"/>
  <c r="R17" i="30"/>
  <c r="X13" i="30"/>
  <c r="R13" i="30"/>
  <c r="R9" i="30"/>
  <c r="Y15" i="32"/>
  <c r="S15" i="32"/>
  <c r="X9" i="32"/>
  <c r="Y7" i="32"/>
  <c r="S7" i="32"/>
  <c r="X35" i="33"/>
  <c r="X33" i="33"/>
  <c r="R31" i="33"/>
  <c r="X29" i="33"/>
  <c r="R29" i="33"/>
  <c r="U23" i="33"/>
  <c r="X21" i="33"/>
  <c r="R21" i="33"/>
  <c r="AA17" i="33"/>
  <c r="X7" i="33"/>
  <c r="R7" i="33"/>
  <c r="Z33" i="33"/>
  <c r="Z11" i="33"/>
  <c r="Z13" i="33"/>
  <c r="Z17" i="33"/>
  <c r="Z19" i="33"/>
  <c r="T31" i="33"/>
  <c r="T33" i="33"/>
  <c r="T11" i="33"/>
  <c r="T13" i="33"/>
  <c r="T17" i="33"/>
  <c r="T19" i="33"/>
  <c r="T23" i="33"/>
  <c r="AB19" i="36"/>
  <c r="V15" i="36"/>
  <c r="U11" i="36"/>
  <c r="AA7" i="36"/>
  <c r="U31" i="33"/>
  <c r="U33" i="33"/>
  <c r="I6" i="29"/>
  <c r="I4" i="29" s="1"/>
  <c r="H6" i="29"/>
  <c r="H4" i="29" s="1"/>
  <c r="AC21" i="30"/>
  <c r="W21" i="30"/>
  <c r="AC17" i="30"/>
  <c r="W17" i="30"/>
  <c r="AC13" i="30"/>
  <c r="W13" i="30"/>
  <c r="X15" i="32"/>
  <c r="R15" i="32"/>
  <c r="S13" i="32"/>
  <c r="R23" i="33"/>
  <c r="AA25" i="33"/>
  <c r="U25" i="33"/>
  <c r="X17" i="33"/>
  <c r="R13" i="33"/>
  <c r="AA9" i="33"/>
  <c r="U9" i="33"/>
  <c r="Y11" i="33"/>
  <c r="Y13" i="33"/>
  <c r="Y17" i="33"/>
  <c r="Y19" i="33"/>
  <c r="Y23" i="33"/>
  <c r="Y27" i="33"/>
  <c r="S11" i="33"/>
  <c r="S13" i="33"/>
  <c r="S17" i="33"/>
  <c r="S19" i="33"/>
  <c r="S23" i="33"/>
  <c r="V21" i="36"/>
  <c r="AB17" i="36"/>
  <c r="V13" i="36"/>
  <c r="X15" i="36"/>
  <c r="X19" i="36"/>
  <c r="X13" i="36"/>
  <c r="X17" i="36"/>
  <c r="X21" i="36"/>
  <c r="R15" i="36"/>
  <c r="R19" i="36"/>
  <c r="R13" i="36"/>
  <c r="R17" i="36"/>
  <c r="R21" i="36"/>
  <c r="AB17" i="30"/>
  <c r="AB13" i="30"/>
  <c r="V13" i="30"/>
  <c r="AC15" i="32"/>
  <c r="W15" i="32"/>
  <c r="AC7" i="32"/>
  <c r="AC5" i="32" s="1"/>
  <c r="W7" i="32"/>
  <c r="U35" i="33"/>
  <c r="U27" i="33"/>
  <c r="U19" i="33"/>
  <c r="AA13" i="33"/>
  <c r="U11" i="33"/>
  <c r="AA33" i="33"/>
  <c r="R33" i="33"/>
  <c r="AA29" i="33"/>
  <c r="X25" i="33"/>
  <c r="R25" i="33"/>
  <c r="AA19" i="33"/>
  <c r="U17" i="33"/>
  <c r="X9" i="33"/>
  <c r="R9" i="33"/>
  <c r="AA11" i="33"/>
  <c r="AB21" i="36"/>
  <c r="V17" i="36"/>
  <c r="AB13" i="36"/>
  <c r="AA13" i="36"/>
  <c r="AA17" i="36"/>
  <c r="AA21" i="36"/>
  <c r="AA15" i="36"/>
  <c r="AA19" i="36"/>
  <c r="U13" i="36"/>
  <c r="U17" i="36"/>
  <c r="U21" i="36"/>
  <c r="U15" i="36"/>
  <c r="U19" i="36"/>
  <c r="AC9" i="36"/>
  <c r="W9" i="36"/>
  <c r="Z13" i="37"/>
  <c r="T13" i="37"/>
  <c r="AC35" i="33"/>
  <c r="AC21" i="36"/>
  <c r="W21" i="36"/>
  <c r="Z19" i="36"/>
  <c r="T19" i="36"/>
  <c r="AC17" i="36"/>
  <c r="W17" i="36"/>
  <c r="Y13" i="37"/>
  <c r="S13" i="37"/>
  <c r="U13" i="37"/>
  <c r="AC5" i="34" l="1"/>
  <c r="S5" i="38"/>
  <c r="S5" i="30"/>
  <c r="AC5" i="30"/>
  <c r="Y5" i="30"/>
  <c r="AA5" i="38"/>
  <c r="T5" i="38"/>
  <c r="AB5" i="38"/>
  <c r="W5" i="37"/>
  <c r="Y5" i="37"/>
  <c r="AC5" i="33"/>
  <c r="W5" i="38"/>
  <c r="U5" i="37"/>
  <c r="T5" i="37"/>
  <c r="V5" i="32"/>
  <c r="T5" i="32"/>
  <c r="Y5" i="32"/>
  <c r="AA5" i="32"/>
  <c r="X5" i="30"/>
  <c r="Y5" i="34"/>
  <c r="S5" i="36"/>
  <c r="AA5" i="33"/>
  <c r="Z5" i="37"/>
  <c r="V5" i="37"/>
  <c r="AA5" i="37"/>
  <c r="V5" i="34"/>
  <c r="Y5" i="36"/>
  <c r="U5" i="32"/>
  <c r="R5" i="32"/>
  <c r="W5" i="33"/>
  <c r="X5" i="36"/>
  <c r="Z5" i="32"/>
  <c r="V5" i="36"/>
  <c r="S5" i="32"/>
  <c r="AC5" i="36"/>
  <c r="AA5" i="30"/>
  <c r="R5" i="36"/>
  <c r="R5" i="30"/>
  <c r="AB5" i="36"/>
  <c r="AB5" i="33"/>
  <c r="V5" i="30"/>
  <c r="T5" i="36"/>
  <c r="AB5" i="30"/>
  <c r="Y5" i="33"/>
  <c r="Z5" i="36"/>
  <c r="W5" i="30"/>
  <c r="U5" i="36"/>
  <c r="Z5" i="33"/>
  <c r="T5" i="33"/>
  <c r="X5" i="32"/>
  <c r="AC5" i="37"/>
  <c r="AB5" i="32"/>
  <c r="U5" i="33"/>
  <c r="W5" i="32"/>
  <c r="S5" i="33"/>
  <c r="T5" i="34"/>
  <c r="S5" i="37"/>
  <c r="W5" i="36"/>
  <c r="V5" i="33"/>
  <c r="X5" i="37"/>
  <c r="AB5" i="37"/>
  <c r="Z5" i="30"/>
  <c r="X5" i="34"/>
  <c r="X5" i="38"/>
  <c r="X5" i="33"/>
  <c r="AA5" i="36"/>
  <c r="R5" i="33"/>
  <c r="I6" i="28" l="1"/>
  <c r="I8" i="28"/>
  <c r="I7" i="28"/>
  <c r="I9" i="28"/>
  <c r="I10" i="28"/>
  <c r="I11" i="28"/>
  <c r="F14" i="28"/>
  <c r="G21" i="28" s="1"/>
  <c r="D21" i="28"/>
  <c r="D20" i="28"/>
  <c r="D19" i="28"/>
  <c r="D17" i="28"/>
  <c r="D18" i="28"/>
  <c r="D16" i="28"/>
  <c r="D15" i="28"/>
  <c r="C21" i="28"/>
  <c r="C20" i="28"/>
  <c r="C19" i="28"/>
  <c r="C17" i="28"/>
  <c r="C18" i="28"/>
  <c r="C16" i="28"/>
  <c r="C15" i="28"/>
  <c r="G11" i="28"/>
  <c r="G10" i="28"/>
  <c r="G9" i="28"/>
  <c r="G7" i="28"/>
  <c r="G8" i="28"/>
  <c r="G6" i="28"/>
  <c r="G5" i="28"/>
  <c r="E11" i="28"/>
  <c r="E10" i="28"/>
  <c r="E9" i="28"/>
  <c r="E7" i="28"/>
  <c r="E8" i="28"/>
  <c r="E6" i="28"/>
  <c r="E5" i="28"/>
  <c r="C11" i="28"/>
  <c r="C10" i="28"/>
  <c r="C9" i="28"/>
  <c r="C7" i="28"/>
  <c r="C8" i="28"/>
  <c r="C6" i="28"/>
  <c r="C5" i="28"/>
  <c r="H14" i="28"/>
  <c r="I15" i="28" s="1"/>
  <c r="H12" i="27"/>
  <c r="I13" i="27" s="1"/>
  <c r="I21" i="28" l="1"/>
  <c r="K4" i="27"/>
  <c r="E4" i="28"/>
  <c r="C4" i="28"/>
  <c r="I16" i="27"/>
  <c r="I14" i="27"/>
  <c r="I17" i="27"/>
  <c r="I15" i="27"/>
  <c r="G4" i="28"/>
  <c r="C14" i="28"/>
  <c r="G15" i="28"/>
  <c r="G16" i="28"/>
  <c r="G18" i="28"/>
  <c r="G17" i="28"/>
  <c r="D14" i="28"/>
  <c r="E21" i="28" s="1"/>
  <c r="I20" i="28"/>
  <c r="I16" i="28"/>
  <c r="I14" i="28" s="1"/>
  <c r="I19" i="28"/>
  <c r="G19" i="28"/>
  <c r="G20" i="28"/>
  <c r="I17" i="28"/>
  <c r="I18" i="28"/>
  <c r="I12" i="27" l="1"/>
  <c r="E20" i="28"/>
  <c r="E16" i="28"/>
  <c r="E19" i="28"/>
  <c r="E17" i="28"/>
  <c r="E15" i="28"/>
  <c r="E18" i="28"/>
  <c r="I4" i="28"/>
  <c r="G14" i="28"/>
  <c r="E14" i="28" l="1"/>
  <c r="C17" i="27"/>
  <c r="I9" i="27"/>
  <c r="F16" i="27"/>
  <c r="D16" i="27"/>
  <c r="C16" i="27"/>
  <c r="I8" i="27"/>
  <c r="F15" i="27"/>
  <c r="D15" i="27"/>
  <c r="C15" i="27"/>
  <c r="I7" i="27"/>
  <c r="F14" i="27"/>
  <c r="D14" i="27"/>
  <c r="C14" i="27"/>
  <c r="I6" i="27"/>
  <c r="F13" i="27"/>
  <c r="D13" i="27"/>
  <c r="C13" i="27"/>
  <c r="G9" i="27"/>
  <c r="E9" i="27"/>
  <c r="C9" i="27"/>
  <c r="G8" i="27"/>
  <c r="E8" i="27"/>
  <c r="C8" i="27"/>
  <c r="G7" i="27"/>
  <c r="E7" i="27"/>
  <c r="C7" i="27"/>
  <c r="G6" i="27"/>
  <c r="E6" i="27"/>
  <c r="C6" i="27"/>
  <c r="G5" i="27"/>
  <c r="E5" i="27"/>
  <c r="C5" i="27"/>
  <c r="I17" i="16"/>
  <c r="D20" i="16"/>
  <c r="D15" i="16"/>
  <c r="F14" i="16"/>
  <c r="G18" i="16" s="1"/>
  <c r="B14" i="16"/>
  <c r="C16" i="16" s="1"/>
  <c r="J4" i="16"/>
  <c r="K11" i="16" s="1"/>
  <c r="H4" i="16"/>
  <c r="F4" i="16"/>
  <c r="G9" i="16" s="1"/>
  <c r="D4" i="16"/>
  <c r="E5" i="16" s="1"/>
  <c r="B4" i="16"/>
  <c r="B25" i="18"/>
  <c r="B17" i="18"/>
  <c r="B14" i="18"/>
  <c r="B19" i="18"/>
  <c r="J4" i="18"/>
  <c r="H4" i="18"/>
  <c r="F4" i="18"/>
  <c r="D4" i="18"/>
  <c r="N16" i="15"/>
  <c r="N17" i="15"/>
  <c r="N19" i="15"/>
  <c r="N18" i="15"/>
  <c r="Q16" i="15"/>
  <c r="J18" i="15"/>
  <c r="F18" i="15"/>
  <c r="B18" i="15"/>
  <c r="R9" i="15"/>
  <c r="N9" i="15"/>
  <c r="J19" i="15"/>
  <c r="F19" i="15"/>
  <c r="B19" i="15"/>
  <c r="R10" i="15"/>
  <c r="N10" i="15"/>
  <c r="J17" i="15"/>
  <c r="F17" i="15"/>
  <c r="B17" i="15"/>
  <c r="R8" i="15"/>
  <c r="N8" i="15"/>
  <c r="J16" i="15"/>
  <c r="F16" i="15"/>
  <c r="B16" i="15"/>
  <c r="R7" i="15"/>
  <c r="N7" i="15"/>
  <c r="J15" i="15"/>
  <c r="F15" i="15"/>
  <c r="B15" i="15"/>
  <c r="R6" i="15"/>
  <c r="N6" i="15"/>
  <c r="L14" i="15"/>
  <c r="K14" i="15"/>
  <c r="H14" i="15"/>
  <c r="G14" i="15"/>
  <c r="B14" i="15"/>
  <c r="R5" i="15"/>
  <c r="N5" i="15"/>
  <c r="M9" i="15"/>
  <c r="I9" i="15"/>
  <c r="E9" i="15"/>
  <c r="M10" i="15"/>
  <c r="I10" i="15"/>
  <c r="E10" i="15"/>
  <c r="M8" i="15"/>
  <c r="I8" i="15"/>
  <c r="E8" i="15"/>
  <c r="M7" i="15"/>
  <c r="I7" i="15"/>
  <c r="E7" i="15"/>
  <c r="M6" i="15"/>
  <c r="I6" i="15"/>
  <c r="E6" i="15"/>
  <c r="D15" i="14"/>
  <c r="D14" i="14"/>
  <c r="D13" i="14"/>
  <c r="D12" i="14"/>
  <c r="I13" i="14"/>
  <c r="F11" i="14"/>
  <c r="G14" i="14" s="1"/>
  <c r="B11" i="14"/>
  <c r="C14" i="14" s="1"/>
  <c r="J4" i="14"/>
  <c r="K5" i="14" s="1"/>
  <c r="H4" i="14"/>
  <c r="F4" i="14"/>
  <c r="G6" i="14" s="1"/>
  <c r="D4" i="14"/>
  <c r="E7" i="14" s="1"/>
  <c r="B4" i="14"/>
  <c r="C8" i="14" s="1"/>
  <c r="W37" i="13"/>
  <c r="T4" i="13"/>
  <c r="U34" i="13" s="1"/>
  <c r="R4" i="13"/>
  <c r="P4" i="13"/>
  <c r="Q23" i="13" s="1"/>
  <c r="N4" i="13"/>
  <c r="O36" i="13" s="1"/>
  <c r="L4" i="13"/>
  <c r="M13" i="13" s="1"/>
  <c r="J4" i="13"/>
  <c r="K7" i="13" s="1"/>
  <c r="H4" i="13"/>
  <c r="I10" i="13" s="1"/>
  <c r="F4" i="13"/>
  <c r="G37" i="13" s="1"/>
  <c r="I17" i="12"/>
  <c r="F14" i="12"/>
  <c r="G16" i="12" s="1"/>
  <c r="D14" i="12"/>
  <c r="E20" i="12" s="1"/>
  <c r="B14" i="12"/>
  <c r="C15" i="12" s="1"/>
  <c r="J4" i="12"/>
  <c r="K6" i="12" s="1"/>
  <c r="H4" i="12"/>
  <c r="F4" i="12"/>
  <c r="G9" i="12" s="1"/>
  <c r="D4" i="12"/>
  <c r="E7" i="12" s="1"/>
  <c r="B4" i="12"/>
  <c r="C5" i="12" s="1"/>
  <c r="F12" i="11"/>
  <c r="G14" i="11" s="1"/>
  <c r="D12" i="11"/>
  <c r="E15" i="11" s="1"/>
  <c r="B12" i="11"/>
  <c r="C16" i="11" s="1"/>
  <c r="J4" i="11"/>
  <c r="K5" i="11" s="1"/>
  <c r="H4" i="11"/>
  <c r="I8" i="11" s="1"/>
  <c r="F4" i="11"/>
  <c r="G9" i="11" s="1"/>
  <c r="D4" i="11"/>
  <c r="E6" i="11" s="1"/>
  <c r="B4" i="11"/>
  <c r="C7" i="11" s="1"/>
  <c r="I21" i="10"/>
  <c r="F14" i="10"/>
  <c r="G21" i="10" s="1"/>
  <c r="D14" i="10"/>
  <c r="E20" i="10" s="1"/>
  <c r="B14" i="10"/>
  <c r="C15" i="10" s="1"/>
  <c r="J4" i="10"/>
  <c r="K10" i="10" s="1"/>
  <c r="H4" i="10"/>
  <c r="F4" i="10"/>
  <c r="G11" i="10" s="1"/>
  <c r="D4" i="10"/>
  <c r="E11" i="10" s="1"/>
  <c r="B4" i="10"/>
  <c r="C10" i="10" s="1"/>
  <c r="I13" i="5"/>
  <c r="F13" i="5" s="1"/>
  <c r="M12" i="5"/>
  <c r="D12" i="5"/>
  <c r="C12" i="5"/>
  <c r="M11" i="5"/>
  <c r="D11" i="5"/>
  <c r="C11" i="5"/>
  <c r="M10" i="5"/>
  <c r="D10" i="5"/>
  <c r="C10" i="5"/>
  <c r="M9" i="5"/>
  <c r="D9" i="5"/>
  <c r="C9" i="5"/>
  <c r="M8" i="5"/>
  <c r="D8" i="5"/>
  <c r="C8" i="5"/>
  <c r="M7" i="5"/>
  <c r="D7" i="5"/>
  <c r="C7" i="5"/>
  <c r="M6" i="5"/>
  <c r="D6" i="5"/>
  <c r="C6" i="5"/>
  <c r="L66" i="4"/>
  <c r="J66" i="4"/>
  <c r="L50" i="4"/>
  <c r="D50" i="4"/>
  <c r="N55" i="4"/>
  <c r="L55" i="4"/>
  <c r="J55" i="4"/>
  <c r="B55" i="4"/>
  <c r="J67" i="4"/>
  <c r="R22" i="4"/>
  <c r="N22" i="4"/>
  <c r="L22" i="4"/>
  <c r="J22" i="4"/>
  <c r="D22" i="4"/>
  <c r="B22" i="4"/>
  <c r="N53" i="4"/>
  <c r="N63" i="4"/>
  <c r="L63" i="4"/>
  <c r="F63" i="4"/>
  <c r="B63" i="4"/>
  <c r="R31" i="4"/>
  <c r="N31" i="4"/>
  <c r="L31" i="4"/>
  <c r="J31" i="4"/>
  <c r="H31" i="4"/>
  <c r="F31" i="4"/>
  <c r="D31" i="4"/>
  <c r="B31" i="4"/>
  <c r="R27" i="4"/>
  <c r="N27" i="4"/>
  <c r="R14" i="4"/>
  <c r="N14" i="4"/>
  <c r="L14" i="4"/>
  <c r="J14" i="4"/>
  <c r="R23" i="4"/>
  <c r="N23" i="4"/>
  <c r="L23" i="4"/>
  <c r="J23" i="4"/>
  <c r="D23" i="4"/>
  <c r="N47" i="4"/>
  <c r="L47" i="4"/>
  <c r="H47" i="4"/>
  <c r="H51" i="4"/>
  <c r="H46" i="4"/>
  <c r="F46" i="4"/>
  <c r="N62" i="4"/>
  <c r="L62" i="4"/>
  <c r="B62" i="4"/>
  <c r="N59" i="4"/>
  <c r="L59" i="4"/>
  <c r="J59" i="4"/>
  <c r="F41" i="4"/>
  <c r="N54" i="4"/>
  <c r="N45" i="4"/>
  <c r="L45" i="4"/>
  <c r="H45" i="4"/>
  <c r="F45" i="4"/>
  <c r="D45" i="4"/>
  <c r="B45" i="4"/>
  <c r="R40" i="4"/>
  <c r="N40" i="4"/>
  <c r="L40" i="4"/>
  <c r="J40" i="4"/>
  <c r="H40" i="4"/>
  <c r="F40" i="4"/>
  <c r="D40" i="4"/>
  <c r="B40" i="4"/>
  <c r="N42" i="4"/>
  <c r="L42" i="4"/>
  <c r="J42" i="4"/>
  <c r="H42" i="4"/>
  <c r="D42" i="4"/>
  <c r="B42" i="4"/>
  <c r="N48" i="4"/>
  <c r="L48" i="4"/>
  <c r="H48" i="4"/>
  <c r="F48" i="4"/>
  <c r="D48" i="4"/>
  <c r="B48" i="4"/>
  <c r="R35" i="4"/>
  <c r="N35" i="4"/>
  <c r="L35" i="4"/>
  <c r="J35" i="4"/>
  <c r="H35" i="4"/>
  <c r="F35" i="4"/>
  <c r="D35" i="4"/>
  <c r="B35" i="4"/>
  <c r="N44" i="4"/>
  <c r="L44" i="4"/>
  <c r="J44" i="4"/>
  <c r="F44" i="4"/>
  <c r="N36" i="4"/>
  <c r="L36" i="4"/>
  <c r="J36" i="4"/>
  <c r="H36" i="4"/>
  <c r="F36" i="4"/>
  <c r="D36" i="4"/>
  <c r="B36" i="4"/>
  <c r="N38" i="4"/>
  <c r="L38" i="4"/>
  <c r="J38" i="4"/>
  <c r="H38" i="4"/>
  <c r="F38" i="4"/>
  <c r="D38" i="4"/>
  <c r="B38" i="4"/>
  <c r="R32" i="4"/>
  <c r="N32" i="4"/>
  <c r="L32" i="4"/>
  <c r="J32" i="4"/>
  <c r="H32" i="4"/>
  <c r="F32" i="4"/>
  <c r="D32" i="4"/>
  <c r="B32" i="4"/>
  <c r="R34" i="4"/>
  <c r="N34" i="4"/>
  <c r="L34" i="4"/>
  <c r="J34" i="4"/>
  <c r="H34" i="4"/>
  <c r="F34" i="4"/>
  <c r="D34" i="4"/>
  <c r="B34" i="4"/>
  <c r="N29" i="4"/>
  <c r="L29" i="4"/>
  <c r="J29" i="4"/>
  <c r="H29" i="4"/>
  <c r="D29" i="4"/>
  <c r="B29" i="4"/>
  <c r="R24" i="4"/>
  <c r="N24" i="4"/>
  <c r="L24" i="4"/>
  <c r="J24" i="4"/>
  <c r="H24" i="4"/>
  <c r="F24" i="4"/>
  <c r="B24" i="4"/>
  <c r="R30" i="4"/>
  <c r="N30" i="4"/>
  <c r="L30" i="4"/>
  <c r="J30" i="4"/>
  <c r="H30" i="4"/>
  <c r="F30" i="4"/>
  <c r="D30" i="4"/>
  <c r="B30" i="4"/>
  <c r="R28" i="4"/>
  <c r="N28" i="4"/>
  <c r="L28" i="4"/>
  <c r="J28" i="4"/>
  <c r="H28" i="4"/>
  <c r="F28" i="4"/>
  <c r="D28" i="4"/>
  <c r="B28" i="4"/>
  <c r="R21" i="4"/>
  <c r="N21" i="4"/>
  <c r="L21" i="4"/>
  <c r="J21" i="4"/>
  <c r="H21" i="4"/>
  <c r="F21" i="4"/>
  <c r="D21" i="4"/>
  <c r="B21" i="4"/>
  <c r="R26" i="4"/>
  <c r="N26" i="4"/>
  <c r="L26" i="4"/>
  <c r="J26" i="4"/>
  <c r="H26" i="4"/>
  <c r="F26" i="4"/>
  <c r="D26" i="4"/>
  <c r="B26" i="4"/>
  <c r="R20" i="4"/>
  <c r="N20" i="4"/>
  <c r="L20" i="4"/>
  <c r="J20" i="4"/>
  <c r="H20" i="4"/>
  <c r="F20" i="4"/>
  <c r="D20" i="4"/>
  <c r="B20" i="4"/>
  <c r="R25" i="4"/>
  <c r="N25" i="4"/>
  <c r="L25" i="4"/>
  <c r="J25" i="4"/>
  <c r="H25" i="4"/>
  <c r="F25" i="4"/>
  <c r="D25" i="4"/>
  <c r="B25" i="4"/>
  <c r="R19" i="4"/>
  <c r="N19" i="4"/>
  <c r="L19" i="4"/>
  <c r="J19" i="4"/>
  <c r="H19" i="4"/>
  <c r="F19" i="4"/>
  <c r="D19" i="4"/>
  <c r="B19" i="4"/>
  <c r="R18" i="4"/>
  <c r="N18" i="4"/>
  <c r="L18" i="4"/>
  <c r="J18" i="4"/>
  <c r="H18" i="4"/>
  <c r="F18" i="4"/>
  <c r="B18" i="4"/>
  <c r="R16" i="4"/>
  <c r="N16" i="4"/>
  <c r="L16" i="4"/>
  <c r="J16" i="4"/>
  <c r="H16" i="4"/>
  <c r="F16" i="4"/>
  <c r="D16" i="4"/>
  <c r="B16" i="4"/>
  <c r="R17" i="4"/>
  <c r="N17" i="4"/>
  <c r="L17" i="4"/>
  <c r="J17" i="4"/>
  <c r="H17" i="4"/>
  <c r="F17" i="4"/>
  <c r="D17" i="4"/>
  <c r="B17" i="4"/>
  <c r="R15" i="4"/>
  <c r="N15" i="4"/>
  <c r="L15" i="4"/>
  <c r="J15" i="4"/>
  <c r="H15" i="4"/>
  <c r="F15" i="4"/>
  <c r="D15" i="4"/>
  <c r="B15" i="4"/>
  <c r="R13" i="4"/>
  <c r="N13" i="4"/>
  <c r="L13" i="4"/>
  <c r="J13" i="4"/>
  <c r="H13" i="4"/>
  <c r="F13" i="4"/>
  <c r="D13" i="4"/>
  <c r="B13" i="4"/>
  <c r="R10" i="4"/>
  <c r="N10" i="4"/>
  <c r="L10" i="4"/>
  <c r="J10" i="4"/>
  <c r="H10" i="4"/>
  <c r="F10" i="4"/>
  <c r="D10" i="4"/>
  <c r="B10" i="4"/>
  <c r="R12" i="4"/>
  <c r="N12" i="4"/>
  <c r="L12" i="4"/>
  <c r="J12" i="4"/>
  <c r="H12" i="4"/>
  <c r="F12" i="4"/>
  <c r="D12" i="4"/>
  <c r="B12" i="4"/>
  <c r="R11" i="4"/>
  <c r="N11" i="4"/>
  <c r="L11" i="4"/>
  <c r="J11" i="4"/>
  <c r="H11" i="4"/>
  <c r="F11" i="4"/>
  <c r="D11" i="4"/>
  <c r="B11" i="4"/>
  <c r="R9" i="4"/>
  <c r="N9" i="4"/>
  <c r="L9" i="4"/>
  <c r="J9" i="4"/>
  <c r="H9" i="4"/>
  <c r="F9" i="4"/>
  <c r="D9" i="4"/>
  <c r="B9" i="4"/>
  <c r="R8" i="4"/>
  <c r="N8" i="4"/>
  <c r="L8" i="4"/>
  <c r="J8" i="4"/>
  <c r="H8" i="4"/>
  <c r="F8" i="4"/>
  <c r="D8" i="4"/>
  <c r="B8" i="4"/>
  <c r="R7" i="4"/>
  <c r="N7" i="4"/>
  <c r="L7" i="4"/>
  <c r="J7" i="4"/>
  <c r="H7" i="4"/>
  <c r="F7" i="4"/>
  <c r="D7" i="4"/>
  <c r="B7" i="4"/>
  <c r="R6" i="4"/>
  <c r="N6" i="4"/>
  <c r="L6" i="4"/>
  <c r="J6" i="4"/>
  <c r="H6" i="4"/>
  <c r="F6" i="4"/>
  <c r="D6" i="4"/>
  <c r="B6" i="4"/>
  <c r="R5" i="4"/>
  <c r="R4" i="4" s="1"/>
  <c r="N5" i="4"/>
  <c r="L5" i="4"/>
  <c r="J5" i="4"/>
  <c r="H5" i="4"/>
  <c r="F5" i="4"/>
  <c r="D5" i="4"/>
  <c r="B5" i="4"/>
  <c r="Q61" i="4"/>
  <c r="H25" i="6"/>
  <c r="I25" i="6" s="1"/>
  <c r="D25" i="6"/>
  <c r="B25" i="6"/>
  <c r="H24" i="6"/>
  <c r="I24" i="6" s="1"/>
  <c r="D24" i="6"/>
  <c r="B24" i="6"/>
  <c r="H23" i="6"/>
  <c r="I23" i="6" s="1"/>
  <c r="D23" i="6"/>
  <c r="B23" i="6"/>
  <c r="H22" i="6"/>
  <c r="I22" i="6" s="1"/>
  <c r="D22" i="6"/>
  <c r="B22" i="6"/>
  <c r="H21" i="6"/>
  <c r="I21" i="6" s="1"/>
  <c r="D21" i="6"/>
  <c r="B21" i="6"/>
  <c r="H20" i="6"/>
  <c r="I20" i="6" s="1"/>
  <c r="D20" i="6"/>
  <c r="B20" i="6"/>
  <c r="H18" i="6"/>
  <c r="I18" i="6" s="1"/>
  <c r="F18" i="6"/>
  <c r="D18" i="6"/>
  <c r="H17" i="6"/>
  <c r="I17" i="6" s="1"/>
  <c r="F17" i="6"/>
  <c r="D17" i="6"/>
  <c r="F16" i="6"/>
  <c r="G24" i="6" s="1"/>
  <c r="J4" i="6"/>
  <c r="K7" i="6" s="1"/>
  <c r="H4" i="6"/>
  <c r="I12" i="6" s="1"/>
  <c r="F4" i="6"/>
  <c r="G13" i="6" s="1"/>
  <c r="D4" i="6"/>
  <c r="B4" i="6"/>
  <c r="C11" i="6" s="1"/>
  <c r="I24" i="8"/>
  <c r="F16" i="8"/>
  <c r="G22" i="8" s="1"/>
  <c r="D16" i="8"/>
  <c r="B16" i="8"/>
  <c r="C25" i="8" s="1"/>
  <c r="J4" i="8"/>
  <c r="K9" i="8" s="1"/>
  <c r="H4" i="8"/>
  <c r="I8" i="8" s="1"/>
  <c r="F4" i="8"/>
  <c r="G12" i="8" s="1"/>
  <c r="D4" i="8"/>
  <c r="E10" i="8" s="1"/>
  <c r="B4" i="8"/>
  <c r="N19" i="9"/>
  <c r="J19" i="9"/>
  <c r="F19" i="9"/>
  <c r="B19" i="9"/>
  <c r="R10" i="9"/>
  <c r="N18" i="9"/>
  <c r="J18" i="9"/>
  <c r="F18" i="9"/>
  <c r="B18" i="9"/>
  <c r="R9" i="9"/>
  <c r="N17" i="9"/>
  <c r="J17" i="9"/>
  <c r="F17" i="9"/>
  <c r="B17" i="9"/>
  <c r="R8" i="9"/>
  <c r="N16" i="9"/>
  <c r="J16" i="9"/>
  <c r="F16" i="9"/>
  <c r="B16" i="9"/>
  <c r="R7" i="9"/>
  <c r="N15" i="9"/>
  <c r="J15" i="9"/>
  <c r="F15" i="9"/>
  <c r="B15" i="9"/>
  <c r="R6" i="9"/>
  <c r="O14" i="9"/>
  <c r="L14" i="9"/>
  <c r="K14" i="9"/>
  <c r="H14" i="9"/>
  <c r="G14" i="9"/>
  <c r="B14" i="9"/>
  <c r="R5" i="9"/>
  <c r="N10" i="9"/>
  <c r="J10" i="9"/>
  <c r="F10" i="9"/>
  <c r="B10" i="9"/>
  <c r="N9" i="9"/>
  <c r="J9" i="9"/>
  <c r="F9" i="9"/>
  <c r="B9" i="9"/>
  <c r="N8" i="9"/>
  <c r="J8" i="9"/>
  <c r="F8" i="9"/>
  <c r="B8" i="9"/>
  <c r="N7" i="9"/>
  <c r="J7" i="9"/>
  <c r="F7" i="9"/>
  <c r="B7" i="9"/>
  <c r="N6" i="9"/>
  <c r="J6" i="9"/>
  <c r="F6" i="9"/>
  <c r="B6" i="9"/>
  <c r="N5" i="9"/>
  <c r="J5" i="9"/>
  <c r="F5" i="9"/>
  <c r="B5" i="9"/>
  <c r="I11" i="14" l="1"/>
  <c r="K24" i="18"/>
  <c r="K17" i="18"/>
  <c r="K21" i="18"/>
  <c r="K23" i="18"/>
  <c r="K18" i="18"/>
  <c r="K22" i="18"/>
  <c r="K16" i="18"/>
  <c r="K15" i="18"/>
  <c r="K19" i="18"/>
  <c r="K20" i="18"/>
  <c r="C7" i="8"/>
  <c r="C11" i="8"/>
  <c r="C8" i="8"/>
  <c r="C12" i="8"/>
  <c r="C5" i="8"/>
  <c r="C9" i="8"/>
  <c r="C13" i="8"/>
  <c r="C6" i="8"/>
  <c r="C10" i="8"/>
  <c r="E18" i="18"/>
  <c r="E16" i="18"/>
  <c r="E13" i="18"/>
  <c r="I6" i="9"/>
  <c r="E16" i="9"/>
  <c r="I10" i="6"/>
  <c r="I5" i="11"/>
  <c r="G4" i="18"/>
  <c r="G20" i="18"/>
  <c r="G12" i="18"/>
  <c r="I18" i="18"/>
  <c r="I21" i="18"/>
  <c r="K14" i="18"/>
  <c r="K4" i="18"/>
  <c r="E5" i="18"/>
  <c r="E4" i="18"/>
  <c r="I4" i="18"/>
  <c r="I14" i="18"/>
  <c r="F4" i="4"/>
  <c r="G7" i="4" s="1"/>
  <c r="D4" i="4"/>
  <c r="L4" i="4"/>
  <c r="H4" i="4"/>
  <c r="I55" i="4" s="1"/>
  <c r="J4" i="4"/>
  <c r="K33" i="4" s="1"/>
  <c r="B4" i="4"/>
  <c r="C56" i="4" s="1"/>
  <c r="N4" i="4"/>
  <c r="P10" i="5"/>
  <c r="P15" i="5"/>
  <c r="P9" i="5"/>
  <c r="P14" i="5"/>
  <c r="P8" i="5"/>
  <c r="P13" i="5"/>
  <c r="P7" i="5"/>
  <c r="P12" i="5"/>
  <c r="P6" i="5"/>
  <c r="P11" i="5"/>
  <c r="E4" i="27"/>
  <c r="G10" i="18"/>
  <c r="G5" i="18"/>
  <c r="B4" i="18"/>
  <c r="C17" i="18" s="1"/>
  <c r="C15" i="14"/>
  <c r="E13" i="11"/>
  <c r="E16" i="11"/>
  <c r="E14" i="11"/>
  <c r="E12" i="11" s="1"/>
  <c r="N14" i="9"/>
  <c r="Q16" i="9" s="1"/>
  <c r="Q8" i="9"/>
  <c r="E9" i="9"/>
  <c r="G18" i="6"/>
  <c r="B12" i="5"/>
  <c r="F14" i="9"/>
  <c r="I18" i="9" s="1"/>
  <c r="K13" i="6"/>
  <c r="C5" i="11"/>
  <c r="K11" i="6"/>
  <c r="C8" i="11"/>
  <c r="K9" i="6"/>
  <c r="C20" i="10"/>
  <c r="G6" i="11"/>
  <c r="K7" i="14"/>
  <c r="E19" i="9"/>
  <c r="I9" i="6"/>
  <c r="K6" i="14"/>
  <c r="E6" i="9"/>
  <c r="I9" i="9"/>
  <c r="E17" i="11"/>
  <c r="G15" i="16"/>
  <c r="D14" i="16"/>
  <c r="E16" i="16" s="1"/>
  <c r="C6" i="16"/>
  <c r="C10" i="16"/>
  <c r="I10" i="16"/>
  <c r="I20" i="16"/>
  <c r="I19" i="16"/>
  <c r="K10" i="18"/>
  <c r="K8" i="18"/>
  <c r="K9" i="18"/>
  <c r="O18" i="13"/>
  <c r="Q24" i="13"/>
  <c r="M5" i="13"/>
  <c r="O8" i="13"/>
  <c r="Q35" i="13"/>
  <c r="Q8" i="13"/>
  <c r="O17" i="13"/>
  <c r="O11" i="13"/>
  <c r="M28" i="13"/>
  <c r="M18" i="13"/>
  <c r="C7" i="14"/>
  <c r="J14" i="15"/>
  <c r="M17" i="15" s="1"/>
  <c r="C9" i="10"/>
  <c r="C11" i="10"/>
  <c r="C8" i="10"/>
  <c r="E8" i="14"/>
  <c r="G14" i="18"/>
  <c r="I16" i="16"/>
  <c r="M7" i="9"/>
  <c r="Q10" i="9"/>
  <c r="U7" i="9"/>
  <c r="I11" i="6"/>
  <c r="I19" i="9"/>
  <c r="G5" i="6"/>
  <c r="G5" i="14"/>
  <c r="I5" i="6"/>
  <c r="I7" i="11"/>
  <c r="W5" i="13"/>
  <c r="G12" i="13"/>
  <c r="G30" i="13"/>
  <c r="W31" i="13"/>
  <c r="G8" i="14"/>
  <c r="I15" i="14"/>
  <c r="C6" i="14"/>
  <c r="G5" i="13"/>
  <c r="K6" i="11"/>
  <c r="W10" i="13"/>
  <c r="M9" i="9"/>
  <c r="M6" i="9"/>
  <c r="E8" i="9"/>
  <c r="Q9" i="9"/>
  <c r="G6" i="6"/>
  <c r="I13" i="6"/>
  <c r="E21" i="10"/>
  <c r="E9" i="11"/>
  <c r="I6" i="11"/>
  <c r="I4" i="11" s="1"/>
  <c r="G6" i="13"/>
  <c r="K12" i="13"/>
  <c r="K30" i="13"/>
  <c r="Q32" i="13"/>
  <c r="G7" i="14"/>
  <c r="I14" i="14"/>
  <c r="E18" i="15"/>
  <c r="Q19" i="15"/>
  <c r="K12" i="18"/>
  <c r="C4" i="27"/>
  <c r="C6" i="10"/>
  <c r="Q6" i="9"/>
  <c r="I8" i="9"/>
  <c r="I6" i="6"/>
  <c r="G5" i="11"/>
  <c r="G4" i="11" s="1"/>
  <c r="W6" i="13"/>
  <c r="W30" i="13"/>
  <c r="K33" i="13"/>
  <c r="C5" i="14"/>
  <c r="Q17" i="15"/>
  <c r="Q14" i="15" s="1"/>
  <c r="G9" i="18"/>
  <c r="E10" i="18"/>
  <c r="K13" i="18"/>
  <c r="I18" i="16"/>
  <c r="C7" i="10"/>
  <c r="I9" i="11"/>
  <c r="G29" i="13"/>
  <c r="Q7" i="9"/>
  <c r="E6" i="8"/>
  <c r="G31" i="13"/>
  <c r="E12" i="18"/>
  <c r="M8" i="9"/>
  <c r="I8" i="6"/>
  <c r="C5" i="10"/>
  <c r="G7" i="11"/>
  <c r="I9" i="13"/>
  <c r="W23" i="13"/>
  <c r="O35" i="13"/>
  <c r="K8" i="14"/>
  <c r="E9" i="18"/>
  <c r="K11" i="18"/>
  <c r="I21" i="16"/>
  <c r="K11" i="12"/>
  <c r="E21" i="12"/>
  <c r="K8" i="12"/>
  <c r="C11" i="12"/>
  <c r="E18" i="12"/>
  <c r="G5" i="12"/>
  <c r="E16" i="12"/>
  <c r="G10" i="12"/>
  <c r="K9" i="12"/>
  <c r="C17" i="12"/>
  <c r="E17" i="12"/>
  <c r="C16" i="12"/>
  <c r="G11" i="12"/>
  <c r="E15" i="12"/>
  <c r="G17" i="12"/>
  <c r="C18" i="12"/>
  <c r="C20" i="12"/>
  <c r="C19" i="12"/>
  <c r="E19" i="12"/>
  <c r="I17" i="11"/>
  <c r="I16" i="11"/>
  <c r="I15" i="11"/>
  <c r="I14" i="11"/>
  <c r="I6" i="10"/>
  <c r="I11" i="10"/>
  <c r="G10" i="10"/>
  <c r="G9" i="10"/>
  <c r="I9" i="10"/>
  <c r="I8" i="10"/>
  <c r="G5" i="10"/>
  <c r="E6" i="10"/>
  <c r="I7" i="10"/>
  <c r="C19" i="10"/>
  <c r="E19" i="10"/>
  <c r="C18" i="10"/>
  <c r="E18" i="10"/>
  <c r="C17" i="10"/>
  <c r="E17" i="10"/>
  <c r="C16" i="10"/>
  <c r="E16" i="10"/>
  <c r="E15" i="10"/>
  <c r="E7" i="8"/>
  <c r="E9" i="8"/>
  <c r="E11" i="8"/>
  <c r="C18" i="8"/>
  <c r="C21" i="8"/>
  <c r="B11" i="5"/>
  <c r="U9" i="9"/>
  <c r="G21" i="8"/>
  <c r="U8" i="15"/>
  <c r="U6" i="9"/>
  <c r="K11" i="10"/>
  <c r="C7" i="12"/>
  <c r="C10" i="12"/>
  <c r="C8" i="12"/>
  <c r="E17" i="15"/>
  <c r="Q9" i="15"/>
  <c r="D12" i="27"/>
  <c r="E17" i="27" s="1"/>
  <c r="E15" i="9"/>
  <c r="G9" i="6"/>
  <c r="G7" i="6"/>
  <c r="I16" i="6"/>
  <c r="E9" i="10"/>
  <c r="E8" i="10"/>
  <c r="G20" i="10"/>
  <c r="G15" i="10"/>
  <c r="G19" i="10"/>
  <c r="E5" i="10"/>
  <c r="G18" i="10"/>
  <c r="E8" i="12"/>
  <c r="E9" i="12"/>
  <c r="E6" i="12"/>
  <c r="C6" i="12"/>
  <c r="O34" i="13"/>
  <c r="O28" i="13"/>
  <c r="O16" i="13"/>
  <c r="O7" i="13"/>
  <c r="O14" i="13"/>
  <c r="O37" i="13"/>
  <c r="K7" i="10"/>
  <c r="K5" i="10"/>
  <c r="I35" i="13"/>
  <c r="I29" i="13"/>
  <c r="I5" i="13"/>
  <c r="I28" i="13"/>
  <c r="I12" i="13"/>
  <c r="I11" i="13"/>
  <c r="I27" i="13"/>
  <c r="Q18" i="15"/>
  <c r="M63" i="4"/>
  <c r="D11" i="14"/>
  <c r="E13" i="14" s="1"/>
  <c r="E18" i="9"/>
  <c r="G23" i="8"/>
  <c r="E6" i="6"/>
  <c r="E11" i="6"/>
  <c r="I19" i="12"/>
  <c r="I21" i="12"/>
  <c r="I18" i="12"/>
  <c r="I20" i="12"/>
  <c r="I37" i="13"/>
  <c r="K8" i="6"/>
  <c r="G8" i="10"/>
  <c r="G7" i="10"/>
  <c r="G6" i="10"/>
  <c r="K9" i="10"/>
  <c r="G17" i="10"/>
  <c r="C15" i="11"/>
  <c r="C13" i="11"/>
  <c r="C17" i="11"/>
  <c r="C14" i="11"/>
  <c r="K9" i="11"/>
  <c r="G6" i="12"/>
  <c r="G7" i="12"/>
  <c r="E5" i="12"/>
  <c r="G8" i="12"/>
  <c r="I16" i="12"/>
  <c r="Q31" i="13"/>
  <c r="Q34" i="13"/>
  <c r="Q11" i="13"/>
  <c r="Q18" i="13"/>
  <c r="Q14" i="13"/>
  <c r="Q6" i="13"/>
  <c r="Q28" i="13"/>
  <c r="I6" i="13"/>
  <c r="I15" i="13"/>
  <c r="Q37" i="13"/>
  <c r="E19" i="8"/>
  <c r="E23" i="8"/>
  <c r="E18" i="8"/>
  <c r="Q17" i="9"/>
  <c r="I5" i="8"/>
  <c r="E21" i="8"/>
  <c r="E7" i="11"/>
  <c r="G20" i="12"/>
  <c r="G15" i="12"/>
  <c r="G19" i="12"/>
  <c r="I19" i="13"/>
  <c r="G18" i="8"/>
  <c r="E10" i="9"/>
  <c r="U8" i="9"/>
  <c r="I12" i="8"/>
  <c r="G4" i="6"/>
  <c r="G11" i="6"/>
  <c r="K10" i="6"/>
  <c r="I5" i="10"/>
  <c r="K8" i="11"/>
  <c r="E11" i="12"/>
  <c r="G21" i="12"/>
  <c r="I31" i="13"/>
  <c r="I10" i="8"/>
  <c r="E8" i="11"/>
  <c r="I23" i="13"/>
  <c r="S48" i="4"/>
  <c r="I7" i="14"/>
  <c r="I8" i="14"/>
  <c r="I5" i="14"/>
  <c r="I6" i="14"/>
  <c r="C12" i="27"/>
  <c r="C9" i="12"/>
  <c r="E25" i="8"/>
  <c r="I15" i="9"/>
  <c r="G19" i="8"/>
  <c r="G25" i="8"/>
  <c r="K12" i="6"/>
  <c r="O21" i="4"/>
  <c r="E7" i="9"/>
  <c r="I10" i="9"/>
  <c r="I19" i="8"/>
  <c r="E8" i="6"/>
  <c r="G17" i="6"/>
  <c r="B16" i="6"/>
  <c r="C21" i="6" s="1"/>
  <c r="E16" i="4"/>
  <c r="E10" i="10"/>
  <c r="K8" i="10"/>
  <c r="G16" i="10"/>
  <c r="Q13" i="13"/>
  <c r="Q16" i="13"/>
  <c r="I7" i="9"/>
  <c r="M10" i="9"/>
  <c r="J14" i="9"/>
  <c r="M15" i="9" s="1"/>
  <c r="I17" i="9"/>
  <c r="U10" i="9"/>
  <c r="E20" i="8"/>
  <c r="G8" i="6"/>
  <c r="D16" i="6"/>
  <c r="E17" i="6" s="1"/>
  <c r="I18" i="10"/>
  <c r="E7" i="10"/>
  <c r="I10" i="10"/>
  <c r="K6" i="10"/>
  <c r="G16" i="11"/>
  <c r="G13" i="11"/>
  <c r="G15" i="11"/>
  <c r="E5" i="11"/>
  <c r="G17" i="11"/>
  <c r="K7" i="11"/>
  <c r="K7" i="12"/>
  <c r="K5" i="12"/>
  <c r="E10" i="12"/>
  <c r="K10" i="12"/>
  <c r="G18" i="12"/>
  <c r="Q7" i="13"/>
  <c r="I18" i="13"/>
  <c r="I34" i="13"/>
  <c r="E17" i="9"/>
  <c r="E13" i="8"/>
  <c r="C21" i="10"/>
  <c r="C6" i="11"/>
  <c r="G8" i="11"/>
  <c r="C21" i="12"/>
  <c r="K5" i="13"/>
  <c r="G10" i="13"/>
  <c r="G23" i="13"/>
  <c r="W29" i="13"/>
  <c r="W34" i="13"/>
  <c r="E6" i="14"/>
  <c r="C13" i="14"/>
  <c r="G13" i="14"/>
  <c r="Q6" i="15"/>
  <c r="G8" i="18"/>
  <c r="K25" i="18"/>
  <c r="C9" i="11"/>
  <c r="I8" i="12"/>
  <c r="I7" i="12"/>
  <c r="I6" i="12"/>
  <c r="I10" i="12"/>
  <c r="I11" i="12"/>
  <c r="I5" i="12"/>
  <c r="I9" i="12"/>
  <c r="G34" i="13"/>
  <c r="G33" i="13"/>
  <c r="E5" i="14"/>
  <c r="C12" i="14"/>
  <c r="C11" i="14" s="1"/>
  <c r="G12" i="14"/>
  <c r="Q7" i="15"/>
  <c r="U9" i="15"/>
  <c r="G13" i="18"/>
  <c r="E8" i="18"/>
  <c r="G15" i="14"/>
  <c r="U7" i="15"/>
  <c r="G11" i="18"/>
  <c r="W12" i="13"/>
  <c r="W33" i="13"/>
  <c r="Q10" i="15"/>
  <c r="B10" i="5"/>
  <c r="B8" i="5"/>
  <c r="B7" i="5"/>
  <c r="B9" i="5"/>
  <c r="B6" i="5"/>
  <c r="I4" i="27"/>
  <c r="G4" i="27"/>
  <c r="F12" i="27"/>
  <c r="G13" i="27" s="1"/>
  <c r="K10" i="16"/>
  <c r="C17" i="16"/>
  <c r="G19" i="16"/>
  <c r="K7" i="16"/>
  <c r="K8" i="16"/>
  <c r="E10" i="16"/>
  <c r="E6" i="16"/>
  <c r="C7" i="16"/>
  <c r="E7" i="16"/>
  <c r="G10" i="16"/>
  <c r="G5" i="16"/>
  <c r="C15" i="16"/>
  <c r="G16" i="16"/>
  <c r="C19" i="16"/>
  <c r="G20" i="16"/>
  <c r="C21" i="16"/>
  <c r="I7" i="16"/>
  <c r="G21" i="16"/>
  <c r="I6" i="16"/>
  <c r="G6" i="16"/>
  <c r="C9" i="16"/>
  <c r="K6" i="16"/>
  <c r="G17" i="16"/>
  <c r="C20" i="16"/>
  <c r="C18" i="16"/>
  <c r="G7" i="16"/>
  <c r="C5" i="16"/>
  <c r="E9" i="16"/>
  <c r="I5" i="16"/>
  <c r="I9" i="16"/>
  <c r="K5" i="16"/>
  <c r="K9" i="16"/>
  <c r="I7" i="18"/>
  <c r="I6" i="18"/>
  <c r="I8" i="18"/>
  <c r="I17" i="18"/>
  <c r="I11" i="18"/>
  <c r="I13" i="18"/>
  <c r="G6" i="18"/>
  <c r="E6" i="18"/>
  <c r="K7" i="18"/>
  <c r="K6" i="18"/>
  <c r="I9" i="18"/>
  <c r="I5" i="18"/>
  <c r="E7" i="18"/>
  <c r="I12" i="18"/>
  <c r="K5" i="18"/>
  <c r="G7" i="18"/>
  <c r="I10" i="18"/>
  <c r="F14" i="15"/>
  <c r="I19" i="15" s="1"/>
  <c r="E19" i="15"/>
  <c r="E16" i="15"/>
  <c r="U6" i="15"/>
  <c r="U10" i="15"/>
  <c r="Q8" i="15"/>
  <c r="M5" i="15"/>
  <c r="I5" i="15"/>
  <c r="E5" i="15"/>
  <c r="E15" i="15"/>
  <c r="G4" i="14"/>
  <c r="S27" i="13"/>
  <c r="S19" i="13"/>
  <c r="S15" i="13"/>
  <c r="S9" i="13"/>
  <c r="S33" i="13"/>
  <c r="S30" i="13"/>
  <c r="S12" i="13"/>
  <c r="S5" i="13"/>
  <c r="S35" i="13"/>
  <c r="S14" i="13"/>
  <c r="S7" i="13"/>
  <c r="S32" i="13"/>
  <c r="S24" i="13"/>
  <c r="S13" i="13"/>
  <c r="S37" i="13"/>
  <c r="S28" i="13"/>
  <c r="S18" i="13"/>
  <c r="S11" i="13"/>
  <c r="S36" i="13"/>
  <c r="S34" i="13"/>
  <c r="S23" i="13"/>
  <c r="S6" i="13"/>
  <c r="S29" i="13"/>
  <c r="S31" i="13"/>
  <c r="U6" i="13"/>
  <c r="U9" i="13"/>
  <c r="U23" i="13"/>
  <c r="S16" i="13"/>
  <c r="U33" i="13"/>
  <c r="U30" i="13"/>
  <c r="U12" i="13"/>
  <c r="U5" i="13"/>
  <c r="U32" i="13"/>
  <c r="U37" i="13"/>
  <c r="U28" i="13"/>
  <c r="U18" i="13"/>
  <c r="U11" i="13"/>
  <c r="U24" i="13"/>
  <c r="U13" i="13"/>
  <c r="U36" i="13"/>
  <c r="U16" i="13"/>
  <c r="U8" i="13"/>
  <c r="U35" i="13"/>
  <c r="U14" i="13"/>
  <c r="U7" i="13"/>
  <c r="U17" i="13"/>
  <c r="U31" i="13"/>
  <c r="U29" i="13"/>
  <c r="U10" i="13"/>
  <c r="U27" i="13"/>
  <c r="U19" i="13"/>
  <c r="U15" i="13"/>
  <c r="S8" i="13"/>
  <c r="S10" i="13"/>
  <c r="K32" i="13"/>
  <c r="K24" i="13"/>
  <c r="K13" i="13"/>
  <c r="K31" i="13"/>
  <c r="K36" i="13"/>
  <c r="K17" i="13"/>
  <c r="K16" i="13"/>
  <c r="K8" i="13"/>
  <c r="K29" i="13"/>
  <c r="K10" i="13"/>
  <c r="K27" i="13"/>
  <c r="K19" i="13"/>
  <c r="K15" i="13"/>
  <c r="K34" i="13"/>
  <c r="K23" i="13"/>
  <c r="K6" i="13"/>
  <c r="K37" i="13"/>
  <c r="K28" i="13"/>
  <c r="K18" i="13"/>
  <c r="K11" i="13"/>
  <c r="K35" i="13"/>
  <c r="K14" i="13"/>
  <c r="M11" i="13"/>
  <c r="M36" i="13"/>
  <c r="M17" i="13"/>
  <c r="M16" i="13"/>
  <c r="M8" i="13"/>
  <c r="M27" i="13"/>
  <c r="M34" i="13"/>
  <c r="M23" i="13"/>
  <c r="M6" i="13"/>
  <c r="M19" i="13"/>
  <c r="M15" i="13"/>
  <c r="M9" i="13"/>
  <c r="M33" i="13"/>
  <c r="M30" i="13"/>
  <c r="M12" i="13"/>
  <c r="M31" i="13"/>
  <c r="M29" i="13"/>
  <c r="M10" i="13"/>
  <c r="M37" i="13"/>
  <c r="M35" i="13"/>
  <c r="M14" i="13"/>
  <c r="M7" i="13"/>
  <c r="M32" i="13"/>
  <c r="M24" i="13"/>
  <c r="K9" i="13"/>
  <c r="S17" i="13"/>
  <c r="G9" i="13"/>
  <c r="W9" i="13"/>
  <c r="O13" i="13"/>
  <c r="G15" i="13"/>
  <c r="W15" i="13"/>
  <c r="O24" i="13"/>
  <c r="I30" i="13"/>
  <c r="G19" i="13"/>
  <c r="Q17" i="13"/>
  <c r="O32" i="13"/>
  <c r="I33" i="13"/>
  <c r="G27" i="13"/>
  <c r="W27" i="13"/>
  <c r="Q36" i="13"/>
  <c r="Q5" i="13"/>
  <c r="O9" i="13"/>
  <c r="I8" i="13"/>
  <c r="G13" i="13"/>
  <c r="W13" i="13"/>
  <c r="Q12" i="13"/>
  <c r="O15" i="13"/>
  <c r="I16" i="13"/>
  <c r="G24" i="13"/>
  <c r="W24" i="13"/>
  <c r="Q30" i="13"/>
  <c r="O19" i="13"/>
  <c r="I17" i="13"/>
  <c r="G32" i="13"/>
  <c r="W32" i="13"/>
  <c r="Q33" i="13"/>
  <c r="O27" i="13"/>
  <c r="I36" i="13"/>
  <c r="O5" i="13"/>
  <c r="G8" i="13"/>
  <c r="W8" i="13"/>
  <c r="O12" i="13"/>
  <c r="G16" i="13"/>
  <c r="W16" i="13"/>
  <c r="O30" i="13"/>
  <c r="G17" i="13"/>
  <c r="W17" i="13"/>
  <c r="O33" i="13"/>
  <c r="W36" i="13"/>
  <c r="G7" i="13"/>
  <c r="Q9" i="13"/>
  <c r="O10" i="13"/>
  <c r="I13" i="13"/>
  <c r="G14" i="13"/>
  <c r="W14" i="13"/>
  <c r="Q15" i="13"/>
  <c r="O29" i="13"/>
  <c r="I24" i="13"/>
  <c r="G35" i="13"/>
  <c r="W35" i="13"/>
  <c r="Q19" i="13"/>
  <c r="O31" i="13"/>
  <c r="I32" i="13"/>
  <c r="Q27" i="13"/>
  <c r="G36" i="13"/>
  <c r="O6" i="13"/>
  <c r="I7" i="13"/>
  <c r="G11" i="13"/>
  <c r="W11" i="13"/>
  <c r="Q10" i="13"/>
  <c r="O23" i="13"/>
  <c r="I14" i="13"/>
  <c r="G18" i="13"/>
  <c r="Q29" i="13"/>
  <c r="G28" i="13"/>
  <c r="W28" i="13"/>
  <c r="I20" i="10"/>
  <c r="I17" i="10"/>
  <c r="I14" i="10" s="1"/>
  <c r="I19" i="10"/>
  <c r="I16" i="10"/>
  <c r="Q11" i="4"/>
  <c r="Q40" i="4"/>
  <c r="Q43" i="4"/>
  <c r="Q67" i="4"/>
  <c r="Q14" i="4"/>
  <c r="Q47" i="4"/>
  <c r="Q35" i="4"/>
  <c r="Q28" i="4"/>
  <c r="Q69" i="4"/>
  <c r="Q68" i="4"/>
  <c r="Q22" i="4"/>
  <c r="Q65" i="4"/>
  <c r="Q60" i="4"/>
  <c r="Q33" i="4"/>
  <c r="Q53" i="4"/>
  <c r="Q49" i="4"/>
  <c r="Q46" i="4"/>
  <c r="Q41" i="4"/>
  <c r="Q45" i="4"/>
  <c r="Q42" i="4"/>
  <c r="Q36" i="4"/>
  <c r="Q32" i="4"/>
  <c r="Q26" i="4"/>
  <c r="Q56" i="4"/>
  <c r="Q70" i="4"/>
  <c r="Q72" i="4"/>
  <c r="Q7" i="4"/>
  <c r="Q17" i="4"/>
  <c r="Q48" i="4"/>
  <c r="Q66" i="4"/>
  <c r="Q10" i="4"/>
  <c r="Q18" i="4"/>
  <c r="Q25" i="4"/>
  <c r="Q20" i="4"/>
  <c r="Q57" i="4"/>
  <c r="Q71" i="4"/>
  <c r="Q23" i="4"/>
  <c r="Q63" i="4"/>
  <c r="S33" i="4"/>
  <c r="Q9" i="4"/>
  <c r="Q30" i="4"/>
  <c r="Q24" i="4"/>
  <c r="Q34" i="4"/>
  <c r="Q44" i="4"/>
  <c r="Q59" i="4"/>
  <c r="Q62" i="4"/>
  <c r="S57" i="4"/>
  <c r="Q50" i="4"/>
  <c r="Q58" i="4"/>
  <c r="M5" i="4"/>
  <c r="Q6" i="4"/>
  <c r="Q15" i="4"/>
  <c r="S59" i="4"/>
  <c r="Q51" i="4"/>
  <c r="Q31" i="4"/>
  <c r="Q52" i="4"/>
  <c r="Q12" i="4"/>
  <c r="Q19" i="4"/>
  <c r="S30" i="4"/>
  <c r="Q29" i="4"/>
  <c r="C36" i="4"/>
  <c r="Q64" i="4"/>
  <c r="Q55" i="4"/>
  <c r="Q8" i="4"/>
  <c r="Q16" i="4"/>
  <c r="Q21" i="4"/>
  <c r="Q27" i="4"/>
  <c r="Q39" i="4"/>
  <c r="Q5" i="4"/>
  <c r="Q13" i="4"/>
  <c r="S26" i="4"/>
  <c r="Q38" i="4"/>
  <c r="Q54" i="4"/>
  <c r="C20" i="6"/>
  <c r="C7" i="6"/>
  <c r="E10" i="6"/>
  <c r="E7" i="6"/>
  <c r="G10" i="6"/>
  <c r="C12" i="6"/>
  <c r="E5" i="6"/>
  <c r="C10" i="6"/>
  <c r="E13" i="6"/>
  <c r="G20" i="6"/>
  <c r="G21" i="6"/>
  <c r="G22" i="6"/>
  <c r="G23" i="6"/>
  <c r="G25" i="6"/>
  <c r="C6" i="6"/>
  <c r="I7" i="6"/>
  <c r="E9" i="6"/>
  <c r="G12" i="6"/>
  <c r="K4" i="6"/>
  <c r="K5" i="6"/>
  <c r="K6" i="6"/>
  <c r="C8" i="6"/>
  <c r="C4" i="6"/>
  <c r="C5" i="6"/>
  <c r="C13" i="6"/>
  <c r="C9" i="6"/>
  <c r="E12" i="6"/>
  <c r="I4" i="6"/>
  <c r="K6" i="8"/>
  <c r="I22" i="8"/>
  <c r="I7" i="8"/>
  <c r="G13" i="8"/>
  <c r="K8" i="8"/>
  <c r="C23" i="8"/>
  <c r="G9" i="8"/>
  <c r="I13" i="8"/>
  <c r="K5" i="8"/>
  <c r="C20" i="8"/>
  <c r="I21" i="8"/>
  <c r="K12" i="8"/>
  <c r="G10" i="8"/>
  <c r="I6" i="8"/>
  <c r="E8" i="8"/>
  <c r="G11" i="8"/>
  <c r="E17" i="8"/>
  <c r="K7" i="8"/>
  <c r="G20" i="8"/>
  <c r="C22" i="8"/>
  <c r="I23" i="8"/>
  <c r="E24" i="8"/>
  <c r="K11" i="8"/>
  <c r="G6" i="8"/>
  <c r="I9" i="8"/>
  <c r="C17" i="8"/>
  <c r="I18" i="8"/>
  <c r="C24" i="8"/>
  <c r="E5" i="8"/>
  <c r="G8" i="8"/>
  <c r="I11" i="8"/>
  <c r="E12" i="8"/>
  <c r="G17" i="8"/>
  <c r="C19" i="8"/>
  <c r="I20" i="8"/>
  <c r="E22" i="8"/>
  <c r="K13" i="8"/>
  <c r="G24" i="8"/>
  <c r="G7" i="8"/>
  <c r="K10" i="8"/>
  <c r="G5" i="8"/>
  <c r="M17" i="9"/>
  <c r="Q5" i="9" l="1"/>
  <c r="C19" i="18"/>
  <c r="C4" i="8"/>
  <c r="M19" i="9"/>
  <c r="K45" i="4"/>
  <c r="K60" i="4"/>
  <c r="C16" i="8"/>
  <c r="C18" i="18"/>
  <c r="C23" i="18"/>
  <c r="C21" i="18"/>
  <c r="C22" i="18"/>
  <c r="C24" i="18"/>
  <c r="C20" i="18"/>
  <c r="C15" i="18"/>
  <c r="C16" i="18"/>
  <c r="G4" i="8"/>
  <c r="K72" i="4"/>
  <c r="E25" i="6"/>
  <c r="M5" i="9"/>
  <c r="I5" i="9"/>
  <c r="I14" i="12"/>
  <c r="E5" i="9"/>
  <c r="Q15" i="9"/>
  <c r="I14" i="16"/>
  <c r="C9" i="4"/>
  <c r="C51" i="4"/>
  <c r="C71" i="4"/>
  <c r="C46" i="4"/>
  <c r="C6" i="4"/>
  <c r="C57" i="4"/>
  <c r="C61" i="4"/>
  <c r="C50" i="4"/>
  <c r="C64" i="4"/>
  <c r="C45" i="4"/>
  <c r="C48" i="4"/>
  <c r="C21" i="4"/>
  <c r="C39" i="4"/>
  <c r="C53" i="4"/>
  <c r="C59" i="4"/>
  <c r="C22" i="4"/>
  <c r="C18" i="4"/>
  <c r="C34" i="4"/>
  <c r="C63" i="4"/>
  <c r="Q4" i="4"/>
  <c r="S56" i="4"/>
  <c r="K34" i="4"/>
  <c r="K44" i="4"/>
  <c r="C31" i="4"/>
  <c r="C32" i="4"/>
  <c r="C23" i="4"/>
  <c r="K21" i="4"/>
  <c r="C20" i="4"/>
  <c r="K70" i="4"/>
  <c r="K56" i="4"/>
  <c r="K54" i="4"/>
  <c r="K26" i="4"/>
  <c r="K57" i="4"/>
  <c r="C49" i="4"/>
  <c r="C26" i="4"/>
  <c r="K52" i="4"/>
  <c r="C38" i="4"/>
  <c r="K55" i="4"/>
  <c r="K66" i="4"/>
  <c r="K30" i="4"/>
  <c r="C67" i="4"/>
  <c r="K49" i="4"/>
  <c r="K67" i="4"/>
  <c r="K62" i="4"/>
  <c r="C42" i="4"/>
  <c r="M66" i="4"/>
  <c r="S47" i="4"/>
  <c r="S46" i="4"/>
  <c r="C72" i="4"/>
  <c r="C44" i="4"/>
  <c r="C19" i="4"/>
  <c r="C11" i="4"/>
  <c r="S31" i="4"/>
  <c r="S68" i="4"/>
  <c r="C52" i="4"/>
  <c r="C55" i="4"/>
  <c r="C8" i="4"/>
  <c r="C7" i="4"/>
  <c r="C24" i="4"/>
  <c r="S6" i="4"/>
  <c r="S63" i="4"/>
  <c r="S35" i="4"/>
  <c r="C47" i="4"/>
  <c r="C65" i="4"/>
  <c r="C54" i="4"/>
  <c r="M7" i="4"/>
  <c r="C69" i="4"/>
  <c r="S70" i="4"/>
  <c r="S39" i="4"/>
  <c r="S32" i="4"/>
  <c r="S28" i="4"/>
  <c r="S71" i="4"/>
  <c r="M21" i="4"/>
  <c r="S36" i="4"/>
  <c r="C41" i="4"/>
  <c r="C70" i="4"/>
  <c r="C68" i="4"/>
  <c r="C27" i="4"/>
  <c r="C16" i="4"/>
  <c r="M30" i="4"/>
  <c r="C17" i="4"/>
  <c r="C40" i="4"/>
  <c r="S19" i="4"/>
  <c r="S52" i="4"/>
  <c r="S49" i="4"/>
  <c r="C30" i="4"/>
  <c r="M56" i="4"/>
  <c r="C28" i="4"/>
  <c r="C35" i="4"/>
  <c r="C33" i="4"/>
  <c r="S55" i="4"/>
  <c r="S51" i="4"/>
  <c r="S43" i="4"/>
  <c r="S62" i="4"/>
  <c r="S25" i="4"/>
  <c r="S67" i="4"/>
  <c r="S22" i="4"/>
  <c r="S50" i="4"/>
  <c r="C62" i="4"/>
  <c r="M55" i="4"/>
  <c r="C29" i="4"/>
  <c r="S58" i="4"/>
  <c r="S53" i="4"/>
  <c r="C14" i="4"/>
  <c r="C60" i="4"/>
  <c r="C12" i="4"/>
  <c r="M41" i="4"/>
  <c r="C25" i="4"/>
  <c r="C13" i="4"/>
  <c r="C66" i="4"/>
  <c r="C43" i="4"/>
  <c r="M61" i="4"/>
  <c r="C15" i="4"/>
  <c r="C5" i="4"/>
  <c r="C10" i="4"/>
  <c r="M62" i="4"/>
  <c r="M11" i="4"/>
  <c r="M44" i="4"/>
  <c r="M24" i="4"/>
  <c r="M59" i="4"/>
  <c r="M70" i="4"/>
  <c r="M16" i="4"/>
  <c r="M27" i="4"/>
  <c r="S66" i="4"/>
  <c r="S5" i="4"/>
  <c r="E13" i="5"/>
  <c r="E7" i="5"/>
  <c r="E8" i="5"/>
  <c r="E12" i="5"/>
  <c r="E6" i="5"/>
  <c r="E11" i="5"/>
  <c r="E9" i="5"/>
  <c r="E14" i="5"/>
  <c r="E15" i="5"/>
  <c r="E10" i="5"/>
  <c r="W4" i="13"/>
  <c r="E16" i="27"/>
  <c r="E15" i="27"/>
  <c r="E13" i="27"/>
  <c r="M19" i="15"/>
  <c r="C5" i="18"/>
  <c r="C4" i="18"/>
  <c r="E4" i="14"/>
  <c r="G12" i="11"/>
  <c r="E4" i="11"/>
  <c r="C4" i="10"/>
  <c r="E14" i="10"/>
  <c r="Q19" i="9"/>
  <c r="Q18" i="9"/>
  <c r="E14" i="9"/>
  <c r="U5" i="9"/>
  <c r="M16" i="9"/>
  <c r="I16" i="9"/>
  <c r="E4" i="8"/>
  <c r="G16" i="6"/>
  <c r="C22" i="6"/>
  <c r="C17" i="6"/>
  <c r="C19" i="6"/>
  <c r="C24" i="6"/>
  <c r="C18" i="6"/>
  <c r="K69" i="4"/>
  <c r="K6" i="4"/>
  <c r="K63" i="4"/>
  <c r="K46" i="4"/>
  <c r="K51" i="4"/>
  <c r="K32" i="4"/>
  <c r="K12" i="4"/>
  <c r="K23" i="4"/>
  <c r="K7" i="4"/>
  <c r="K35" i="4"/>
  <c r="K36" i="4"/>
  <c r="K43" i="4"/>
  <c r="K39" i="4"/>
  <c r="K14" i="4"/>
  <c r="K16" i="4"/>
  <c r="K68" i="4"/>
  <c r="K10" i="4"/>
  <c r="K20" i="4"/>
  <c r="K53" i="4"/>
  <c r="K42" i="4"/>
  <c r="K50" i="4"/>
  <c r="K47" i="4"/>
  <c r="K8" i="4"/>
  <c r="M15" i="4"/>
  <c r="M39" i="4"/>
  <c r="K15" i="4"/>
  <c r="K65" i="4"/>
  <c r="K48" i="4"/>
  <c r="K64" i="4"/>
  <c r="K22" i="4"/>
  <c r="K29" i="4"/>
  <c r="G23" i="4"/>
  <c r="K11" i="4"/>
  <c r="K71" i="4"/>
  <c r="K59" i="4"/>
  <c r="K24" i="4"/>
  <c r="M64" i="4"/>
  <c r="K40" i="4"/>
  <c r="K41" i="4"/>
  <c r="K9" i="4"/>
  <c r="K38" i="4"/>
  <c r="K61" i="4"/>
  <c r="K27" i="4"/>
  <c r="K31" i="4"/>
  <c r="K58" i="4"/>
  <c r="M45" i="4"/>
  <c r="M46" i="4"/>
  <c r="E46" i="4"/>
  <c r="E20" i="4"/>
  <c r="E40" i="4"/>
  <c r="E9" i="4"/>
  <c r="E53" i="4"/>
  <c r="E8" i="4"/>
  <c r="E48" i="4"/>
  <c r="E34" i="4"/>
  <c r="E54" i="4"/>
  <c r="E21" i="4"/>
  <c r="E31" i="4"/>
  <c r="E61" i="4"/>
  <c r="C58" i="4"/>
  <c r="E22" i="4"/>
  <c r="E17" i="4"/>
  <c r="G62" i="4"/>
  <c r="E13" i="4"/>
  <c r="E70" i="4"/>
  <c r="M29" i="4"/>
  <c r="M43" i="4"/>
  <c r="E5" i="4"/>
  <c r="M52" i="4"/>
  <c r="M40" i="4"/>
  <c r="K19" i="4"/>
  <c r="I11" i="5"/>
  <c r="L8" i="5"/>
  <c r="L10" i="5"/>
  <c r="L12" i="5"/>
  <c r="I12" i="5"/>
  <c r="I8" i="5"/>
  <c r="C4" i="11"/>
  <c r="C23" i="6"/>
  <c r="K28" i="4"/>
  <c r="S44" i="4"/>
  <c r="S65" i="4"/>
  <c r="K25" i="4"/>
  <c r="L11" i="5"/>
  <c r="F11" i="5" s="1"/>
  <c r="I6" i="5"/>
  <c r="K17" i="4"/>
  <c r="K5" i="4"/>
  <c r="I7" i="5"/>
  <c r="I12" i="11"/>
  <c r="O35" i="4"/>
  <c r="K4" i="11"/>
  <c r="L9" i="5"/>
  <c r="I10" i="5"/>
  <c r="F10" i="5" s="1"/>
  <c r="K18" i="4"/>
  <c r="M18" i="15"/>
  <c r="M15" i="15"/>
  <c r="M16" i="15"/>
  <c r="I18" i="15"/>
  <c r="E17" i="16"/>
  <c r="E15" i="16"/>
  <c r="E18" i="16"/>
  <c r="E21" i="16"/>
  <c r="E19" i="16"/>
  <c r="E20" i="16"/>
  <c r="E4" i="12"/>
  <c r="K4" i="10"/>
  <c r="I4" i="12"/>
  <c r="S64" i="4"/>
  <c r="S42" i="4"/>
  <c r="S69" i="4"/>
  <c r="E51" i="4"/>
  <c r="E18" i="4"/>
  <c r="E14" i="15"/>
  <c r="U5" i="15"/>
  <c r="G11" i="14"/>
  <c r="S15" i="4"/>
  <c r="S20" i="4"/>
  <c r="S29" i="4"/>
  <c r="S27" i="4"/>
  <c r="E59" i="4"/>
  <c r="E52" i="4"/>
  <c r="E14" i="27"/>
  <c r="Q5" i="15"/>
  <c r="K13" i="4"/>
  <c r="C4" i="14"/>
  <c r="G14" i="12"/>
  <c r="E14" i="12"/>
  <c r="G4" i="12"/>
  <c r="C14" i="12"/>
  <c r="K4" i="12"/>
  <c r="G4" i="10"/>
  <c r="I4" i="10"/>
  <c r="C14" i="10"/>
  <c r="G14" i="10"/>
  <c r="O10" i="4"/>
  <c r="I57" i="4"/>
  <c r="I65" i="4"/>
  <c r="I19" i="4"/>
  <c r="I14" i="4"/>
  <c r="I56" i="4"/>
  <c r="I54" i="4"/>
  <c r="I38" i="4"/>
  <c r="I48" i="4"/>
  <c r="I33" i="4"/>
  <c r="M34" i="4"/>
  <c r="S54" i="4"/>
  <c r="M20" i="4"/>
  <c r="E32" i="4"/>
  <c r="E42" i="4"/>
  <c r="E45" i="4"/>
  <c r="E43" i="4"/>
  <c r="E66" i="4"/>
  <c r="E60" i="4"/>
  <c r="E67" i="4"/>
  <c r="E24" i="4"/>
  <c r="E38" i="4"/>
  <c r="E72" i="4"/>
  <c r="M32" i="4"/>
  <c r="M9" i="4"/>
  <c r="M6" i="4"/>
  <c r="M22" i="4"/>
  <c r="M13" i="4"/>
  <c r="M25" i="4"/>
  <c r="M38" i="4"/>
  <c r="M51" i="4"/>
  <c r="I68" i="4"/>
  <c r="I34" i="4"/>
  <c r="I66" i="4"/>
  <c r="M31" i="4"/>
  <c r="M50" i="4"/>
  <c r="S61" i="4"/>
  <c r="I21" i="4"/>
  <c r="S13" i="4"/>
  <c r="I67" i="4"/>
  <c r="S38" i="4"/>
  <c r="M10" i="4"/>
  <c r="E19" i="4"/>
  <c r="E6" i="4"/>
  <c r="E26" i="4"/>
  <c r="E62" i="4"/>
  <c r="E25" i="4"/>
  <c r="E71" i="4"/>
  <c r="E41" i="4"/>
  <c r="E49" i="4"/>
  <c r="M47" i="4"/>
  <c r="M71" i="4"/>
  <c r="M60" i="4"/>
  <c r="M72" i="4"/>
  <c r="M17" i="4"/>
  <c r="M68" i="4"/>
  <c r="M54" i="4"/>
  <c r="E28" i="4"/>
  <c r="I23" i="4"/>
  <c r="I32" i="4"/>
  <c r="I28" i="4"/>
  <c r="I27" i="4"/>
  <c r="M23" i="4"/>
  <c r="E11" i="4"/>
  <c r="E29" i="4"/>
  <c r="E15" i="4"/>
  <c r="E63" i="4"/>
  <c r="E65" i="4"/>
  <c r="E68" i="4"/>
  <c r="E36" i="4"/>
  <c r="E27" i="4"/>
  <c r="E47" i="4"/>
  <c r="E55" i="4"/>
  <c r="M42" i="4"/>
  <c r="M65" i="4"/>
  <c r="M58" i="4"/>
  <c r="M49" i="4"/>
  <c r="M33" i="4"/>
  <c r="M36" i="4"/>
  <c r="M69" i="4"/>
  <c r="M57" i="4"/>
  <c r="M18" i="4"/>
  <c r="I60" i="4"/>
  <c r="I41" i="4"/>
  <c r="E23" i="4"/>
  <c r="S72" i="4"/>
  <c r="S41" i="4"/>
  <c r="S60" i="4"/>
  <c r="I45" i="4"/>
  <c r="I17" i="4"/>
  <c r="I58" i="4"/>
  <c r="S18" i="4"/>
  <c r="M8" i="4"/>
  <c r="M12" i="4"/>
  <c r="E35" i="4"/>
  <c r="E44" i="4"/>
  <c r="E39" i="4"/>
  <c r="E7" i="4"/>
  <c r="E57" i="4"/>
  <c r="E64" i="4"/>
  <c r="E14" i="4"/>
  <c r="M28" i="4"/>
  <c r="M35" i="4"/>
  <c r="M53" i="4"/>
  <c r="M19" i="4"/>
  <c r="M14" i="4"/>
  <c r="M26" i="4"/>
  <c r="M48" i="4"/>
  <c r="M67" i="4"/>
  <c r="G39" i="4"/>
  <c r="G33" i="4"/>
  <c r="G22" i="4"/>
  <c r="G28" i="4"/>
  <c r="G53" i="4"/>
  <c r="G5" i="4"/>
  <c r="I62" i="4"/>
  <c r="I29" i="4"/>
  <c r="I69" i="4"/>
  <c r="I63" i="4"/>
  <c r="I59" i="4"/>
  <c r="I30" i="4"/>
  <c r="I11" i="4"/>
  <c r="I39" i="4"/>
  <c r="I71" i="4"/>
  <c r="O28" i="4"/>
  <c r="E10" i="4"/>
  <c r="E30" i="4"/>
  <c r="I70" i="4"/>
  <c r="I53" i="4"/>
  <c r="I24" i="4"/>
  <c r="I35" i="4"/>
  <c r="I43" i="4"/>
  <c r="I51" i="4"/>
  <c r="I72" i="4"/>
  <c r="I49" i="4"/>
  <c r="I50" i="4"/>
  <c r="I36" i="4"/>
  <c r="I22" i="4"/>
  <c r="O19" i="4"/>
  <c r="E12" i="4"/>
  <c r="I12" i="4"/>
  <c r="I9" i="4"/>
  <c r="I44" i="4"/>
  <c r="I42" i="4"/>
  <c r="I64" i="4"/>
  <c r="I31" i="4"/>
  <c r="O34" i="4"/>
  <c r="I7" i="4"/>
  <c r="I47" i="4"/>
  <c r="I61" i="4"/>
  <c r="I52" i="4"/>
  <c r="I26" i="4"/>
  <c r="O15" i="4"/>
  <c r="O8" i="4"/>
  <c r="E50" i="4"/>
  <c r="O48" i="4"/>
  <c r="G34" i="4"/>
  <c r="O31" i="4"/>
  <c r="G45" i="4"/>
  <c r="G21" i="4"/>
  <c r="O17" i="4"/>
  <c r="O53" i="4"/>
  <c r="O18" i="4"/>
  <c r="O50" i="4"/>
  <c r="O49" i="4"/>
  <c r="O5" i="4"/>
  <c r="O40" i="4"/>
  <c r="O33" i="4"/>
  <c r="O47" i="4"/>
  <c r="G42" i="4"/>
  <c r="G10" i="4"/>
  <c r="G43" i="4"/>
  <c r="G66" i="4"/>
  <c r="G13" i="4"/>
  <c r="G64" i="4"/>
  <c r="G72" i="4"/>
  <c r="O42" i="4"/>
  <c r="G12" i="4"/>
  <c r="G30" i="4"/>
  <c r="G24" i="4"/>
  <c r="G20" i="4"/>
  <c r="O24" i="4"/>
  <c r="G46" i="4"/>
  <c r="G19" i="4"/>
  <c r="O12" i="4"/>
  <c r="O27" i="4"/>
  <c r="O11" i="4"/>
  <c r="O25" i="4"/>
  <c r="O58" i="4"/>
  <c r="O64" i="4"/>
  <c r="O13" i="4"/>
  <c r="O45" i="4"/>
  <c r="O60" i="4"/>
  <c r="O14" i="4"/>
  <c r="O16" i="4"/>
  <c r="G40" i="4"/>
  <c r="G18" i="4"/>
  <c r="G48" i="4"/>
  <c r="G65" i="4"/>
  <c r="G26" i="4"/>
  <c r="G68" i="4"/>
  <c r="G52" i="4"/>
  <c r="G70" i="4"/>
  <c r="O59" i="4"/>
  <c r="O44" i="4"/>
  <c r="I46" i="4"/>
  <c r="O55" i="4"/>
  <c r="G44" i="4"/>
  <c r="O36" i="4"/>
  <c r="O32" i="4"/>
  <c r="O71" i="4"/>
  <c r="O51" i="4"/>
  <c r="O72" i="4"/>
  <c r="O26" i="4"/>
  <c r="O61" i="4"/>
  <c r="O65" i="4"/>
  <c r="O67" i="4"/>
  <c r="G49" i="4"/>
  <c r="G25" i="4"/>
  <c r="G54" i="4"/>
  <c r="G29" i="4"/>
  <c r="G38" i="4"/>
  <c r="G35" i="4"/>
  <c r="G58" i="4"/>
  <c r="O9" i="4"/>
  <c r="I16" i="4"/>
  <c r="I40" i="4"/>
  <c r="G31" i="4"/>
  <c r="O6" i="4"/>
  <c r="O62" i="4"/>
  <c r="O23" i="4"/>
  <c r="G9" i="4"/>
  <c r="O41" i="4"/>
  <c r="O63" i="4"/>
  <c r="O46" i="4"/>
  <c r="O38" i="4"/>
  <c r="O68" i="4"/>
  <c r="O43" i="4"/>
  <c r="G15" i="4"/>
  <c r="G57" i="4"/>
  <c r="G36" i="4"/>
  <c r="G41" i="4"/>
  <c r="G60" i="4"/>
  <c r="G67" i="4"/>
  <c r="G71" i="4"/>
  <c r="G47" i="4"/>
  <c r="G56" i="4"/>
  <c r="O29" i="4"/>
  <c r="G17" i="4"/>
  <c r="I15" i="4"/>
  <c r="O22" i="4"/>
  <c r="G6" i="4"/>
  <c r="O20" i="4"/>
  <c r="O30" i="4"/>
  <c r="O7" i="4"/>
  <c r="O66" i="4"/>
  <c r="O70" i="4"/>
  <c r="O52" i="4"/>
  <c r="O39" i="4"/>
  <c r="O54" i="4"/>
  <c r="O56" i="4"/>
  <c r="O69" i="4"/>
  <c r="O57" i="4"/>
  <c r="G32" i="4"/>
  <c r="G11" i="4"/>
  <c r="G50" i="4"/>
  <c r="G51" i="4"/>
  <c r="G59" i="4"/>
  <c r="G69" i="4"/>
  <c r="G61" i="4"/>
  <c r="G55" i="4"/>
  <c r="G27" i="4"/>
  <c r="G14" i="4"/>
  <c r="S24" i="4"/>
  <c r="S12" i="4"/>
  <c r="S21" i="4"/>
  <c r="S17" i="4"/>
  <c r="S11" i="4"/>
  <c r="S14" i="4"/>
  <c r="I4" i="8"/>
  <c r="G16" i="4"/>
  <c r="M18" i="9"/>
  <c r="M14" i="9" s="1"/>
  <c r="I5" i="4"/>
  <c r="E23" i="6"/>
  <c r="I8" i="4"/>
  <c r="S10" i="4"/>
  <c r="S23" i="4"/>
  <c r="I6" i="4"/>
  <c r="C9" i="18"/>
  <c r="L7" i="5"/>
  <c r="I17" i="15"/>
  <c r="G63" i="4"/>
  <c r="E21" i="6"/>
  <c r="E24" i="6"/>
  <c r="E58" i="4"/>
  <c r="E69" i="4"/>
  <c r="E33" i="4"/>
  <c r="E56" i="4"/>
  <c r="S8" i="4"/>
  <c r="C25" i="6"/>
  <c r="G8" i="4"/>
  <c r="C10" i="18"/>
  <c r="S9" i="4"/>
  <c r="E15" i="14"/>
  <c r="I15" i="15"/>
  <c r="E22" i="6"/>
  <c r="I4" i="14"/>
  <c r="C12" i="18"/>
  <c r="E4" i="10"/>
  <c r="E14" i="14"/>
  <c r="O4" i="13"/>
  <c r="C13" i="18"/>
  <c r="E20" i="6"/>
  <c r="I14" i="9"/>
  <c r="C11" i="18"/>
  <c r="S40" i="4"/>
  <c r="S34" i="4"/>
  <c r="E12" i="14"/>
  <c r="I16" i="15"/>
  <c r="C14" i="18"/>
  <c r="C8" i="18"/>
  <c r="C25" i="18"/>
  <c r="E18" i="6"/>
  <c r="E16" i="6" s="1"/>
  <c r="Q4" i="13"/>
  <c r="K4" i="13"/>
  <c r="I25" i="4"/>
  <c r="I18" i="4"/>
  <c r="I10" i="4"/>
  <c r="S16" i="4"/>
  <c r="I13" i="4"/>
  <c r="I20" i="4"/>
  <c r="S7" i="4"/>
  <c r="L6" i="5"/>
  <c r="I9" i="5"/>
  <c r="G17" i="27"/>
  <c r="G16" i="27"/>
  <c r="G15" i="27"/>
  <c r="G14" i="27"/>
  <c r="G14" i="16"/>
  <c r="E4" i="16"/>
  <c r="C4" i="16"/>
  <c r="G4" i="16"/>
  <c r="I4" i="16"/>
  <c r="C14" i="16"/>
  <c r="K4" i="16"/>
  <c r="C7" i="18"/>
  <c r="C6" i="18"/>
  <c r="K4" i="14"/>
  <c r="I4" i="13"/>
  <c r="S4" i="13"/>
  <c r="U4" i="13"/>
  <c r="G4" i="13"/>
  <c r="M4" i="13"/>
  <c r="C4" i="12"/>
  <c r="C12" i="11"/>
  <c r="F8" i="5"/>
  <c r="E4" i="6"/>
  <c r="E16" i="8"/>
  <c r="K4" i="8"/>
  <c r="G16" i="8"/>
  <c r="I16" i="8"/>
  <c r="F12" i="5" l="1"/>
  <c r="Q14" i="9"/>
  <c r="C4" i="4"/>
  <c r="M4" i="4"/>
  <c r="S4" i="4"/>
  <c r="I4" i="4"/>
  <c r="E4" i="4"/>
  <c r="O4" i="4"/>
  <c r="G4" i="4"/>
  <c r="K4" i="4"/>
  <c r="E12" i="27"/>
  <c r="E11" i="14"/>
  <c r="C16" i="6"/>
  <c r="F7" i="5"/>
  <c r="F9" i="5"/>
  <c r="F6" i="5"/>
  <c r="E14" i="16"/>
  <c r="M14" i="15"/>
  <c r="I14" i="15"/>
  <c r="G12" i="27"/>
  <c r="F14" i="26" l="1"/>
  <c r="G21" i="26" s="1"/>
  <c r="D21" i="26"/>
  <c r="D20" i="26"/>
  <c r="D19" i="26"/>
  <c r="D18" i="26"/>
  <c r="D17" i="26"/>
  <c r="B14" i="26"/>
  <c r="C21" i="26" s="1"/>
  <c r="H4" i="26"/>
  <c r="F4" i="26"/>
  <c r="G11" i="26" s="1"/>
  <c r="D4" i="26"/>
  <c r="E11" i="26" s="1"/>
  <c r="B4" i="26"/>
  <c r="C11" i="26" s="1"/>
  <c r="H14" i="26"/>
  <c r="N14" i="25"/>
  <c r="Q15" i="25" s="1"/>
  <c r="P14" i="25"/>
  <c r="I15" i="26" l="1"/>
  <c r="I17" i="26"/>
  <c r="I11" i="26"/>
  <c r="I5" i="26"/>
  <c r="I7" i="26"/>
  <c r="I21" i="26"/>
  <c r="Q19" i="25"/>
  <c r="G7" i="26"/>
  <c r="G18" i="26"/>
  <c r="G8" i="26"/>
  <c r="E5" i="26"/>
  <c r="C15" i="26"/>
  <c r="E6" i="26"/>
  <c r="C16" i="26"/>
  <c r="I10" i="26"/>
  <c r="E7" i="26"/>
  <c r="C17" i="26"/>
  <c r="I9" i="26"/>
  <c r="C5" i="26"/>
  <c r="E8" i="26"/>
  <c r="C18" i="26"/>
  <c r="I8" i="26"/>
  <c r="C6" i="26"/>
  <c r="D14" i="26"/>
  <c r="E17" i="26" s="1"/>
  <c r="G15" i="26"/>
  <c r="C7" i="26"/>
  <c r="G5" i="26"/>
  <c r="G16" i="26"/>
  <c r="I6" i="26"/>
  <c r="C8" i="26"/>
  <c r="G6" i="26"/>
  <c r="G17" i="26"/>
  <c r="I16" i="26"/>
  <c r="I18" i="26"/>
  <c r="I20" i="26"/>
  <c r="I19" i="26"/>
  <c r="G19" i="26"/>
  <c r="G20" i="26"/>
  <c r="C19" i="26"/>
  <c r="C20" i="26"/>
  <c r="G9" i="26"/>
  <c r="G10" i="26"/>
  <c r="E9" i="26"/>
  <c r="E10" i="26"/>
  <c r="C9" i="26"/>
  <c r="C10" i="26"/>
  <c r="Q18" i="25"/>
  <c r="Q16" i="25"/>
  <c r="Q14" i="25" s="1"/>
  <c r="Q17" i="25"/>
  <c r="J19" i="25"/>
  <c r="F19" i="25"/>
  <c r="B19" i="25"/>
  <c r="N10" i="25"/>
  <c r="J18" i="25"/>
  <c r="F18" i="25"/>
  <c r="B18" i="25"/>
  <c r="N9" i="25"/>
  <c r="J16" i="25"/>
  <c r="F16" i="25"/>
  <c r="B16" i="25"/>
  <c r="N7" i="25"/>
  <c r="J17" i="25"/>
  <c r="F17" i="25"/>
  <c r="B17" i="25"/>
  <c r="N8" i="25"/>
  <c r="J15" i="25"/>
  <c r="F15" i="25"/>
  <c r="B15" i="25"/>
  <c r="N6" i="25"/>
  <c r="L14" i="25"/>
  <c r="K14" i="25"/>
  <c r="H14" i="25"/>
  <c r="G14" i="25"/>
  <c r="D14" i="25"/>
  <c r="C14" i="25"/>
  <c r="B14" i="25" s="1"/>
  <c r="P5" i="25"/>
  <c r="O5" i="25"/>
  <c r="J10" i="25"/>
  <c r="F10" i="25"/>
  <c r="B10" i="25"/>
  <c r="J9" i="25"/>
  <c r="F9" i="25"/>
  <c r="B9" i="25"/>
  <c r="J7" i="25"/>
  <c r="F7" i="25"/>
  <c r="B7" i="25"/>
  <c r="J8" i="25"/>
  <c r="F8" i="25"/>
  <c r="B8" i="25"/>
  <c r="J6" i="25"/>
  <c r="F6" i="25"/>
  <c r="B6" i="25"/>
  <c r="L5" i="25"/>
  <c r="K5" i="25"/>
  <c r="H5" i="25"/>
  <c r="G5" i="25"/>
  <c r="D5" i="25"/>
  <c r="C5" i="25"/>
  <c r="B14" i="19"/>
  <c r="C21" i="19" s="1"/>
  <c r="J4" i="19"/>
  <c r="G9" i="2"/>
  <c r="C9" i="2" s="1"/>
  <c r="E27" i="1"/>
  <c r="E26" i="1"/>
  <c r="E25" i="1"/>
  <c r="E24" i="1"/>
  <c r="E23" i="1"/>
  <c r="E22" i="1"/>
  <c r="E21" i="1"/>
  <c r="E20" i="1"/>
  <c r="E17" i="1"/>
  <c r="E15" i="1"/>
  <c r="E14" i="1"/>
  <c r="E13" i="1"/>
  <c r="E10" i="1"/>
  <c r="E8" i="1"/>
  <c r="E7" i="1"/>
  <c r="E5" i="1"/>
  <c r="E4" i="1"/>
  <c r="K11" i="19" l="1"/>
  <c r="K8" i="19"/>
  <c r="U5" i="25"/>
  <c r="F5" i="25"/>
  <c r="G7" i="2"/>
  <c r="C7" i="2" s="1"/>
  <c r="E19" i="1"/>
  <c r="E16" i="1" s="1"/>
  <c r="E9" i="1" s="1"/>
  <c r="E6" i="1"/>
  <c r="E20" i="26"/>
  <c r="G5" i="2"/>
  <c r="C5" i="2" s="1"/>
  <c r="G8" i="2"/>
  <c r="C8" i="2" s="1"/>
  <c r="G10" i="2"/>
  <c r="C10" i="2" s="1"/>
  <c r="G11" i="2"/>
  <c r="C11" i="2" s="1"/>
  <c r="G6" i="2"/>
  <c r="C6" i="2" s="1"/>
  <c r="G14" i="26"/>
  <c r="I4" i="26"/>
  <c r="J5" i="25"/>
  <c r="C4" i="26"/>
  <c r="E21" i="26"/>
  <c r="E16" i="26"/>
  <c r="E4" i="26"/>
  <c r="E15" i="26"/>
  <c r="E18" i="26"/>
  <c r="E19" i="26"/>
  <c r="E14" i="26" l="1"/>
  <c r="C20" i="19" l="1"/>
  <c r="K10" i="19"/>
  <c r="D19" i="19"/>
  <c r="C19" i="19"/>
  <c r="K9" i="19"/>
  <c r="D18" i="19"/>
  <c r="C18" i="19"/>
  <c r="D17" i="19"/>
  <c r="C17" i="19"/>
  <c r="K7" i="19"/>
  <c r="C16" i="19"/>
  <c r="K6" i="19"/>
  <c r="C15" i="19"/>
  <c r="K5" i="19"/>
  <c r="I18" i="19"/>
  <c r="F14" i="19"/>
  <c r="G15" i="19" s="1"/>
  <c r="G17" i="19" l="1"/>
  <c r="G20" i="19"/>
  <c r="I20" i="19"/>
  <c r="D14" i="19"/>
  <c r="E18" i="19" s="1"/>
  <c r="G19" i="19"/>
  <c r="B4" i="19"/>
  <c r="G16" i="19"/>
  <c r="I19" i="19"/>
  <c r="I16" i="19"/>
  <c r="K4" i="19"/>
  <c r="G18" i="19"/>
  <c r="C14" i="19"/>
  <c r="I14" i="26"/>
  <c r="C14" i="26"/>
  <c r="G4" i="26"/>
  <c r="B5" i="25"/>
  <c r="E10" i="25" s="1"/>
  <c r="N5" i="25"/>
  <c r="I10" i="25"/>
  <c r="M10" i="25"/>
  <c r="F14" i="25"/>
  <c r="I16" i="25" s="1"/>
  <c r="I6" i="25"/>
  <c r="E18" i="25"/>
  <c r="E16" i="25"/>
  <c r="E15" i="25"/>
  <c r="E17" i="25"/>
  <c r="E19" i="25"/>
  <c r="M7" i="25"/>
  <c r="M8" i="25"/>
  <c r="M6" i="25"/>
  <c r="M9" i="25"/>
  <c r="I8" i="25"/>
  <c r="I7" i="25"/>
  <c r="I9" i="25"/>
  <c r="J14" i="25"/>
  <c r="M19" i="25" s="1"/>
  <c r="Q9" i="25" l="1"/>
  <c r="Q6" i="25"/>
  <c r="I18" i="25"/>
  <c r="I19" i="22"/>
  <c r="K12" i="22"/>
  <c r="K5" i="22"/>
  <c r="K11" i="22"/>
  <c r="K10" i="22"/>
  <c r="K9" i="22"/>
  <c r="K8" i="22"/>
  <c r="K6" i="22"/>
  <c r="K7" i="22"/>
  <c r="E19" i="19"/>
  <c r="Q7" i="25"/>
  <c r="E7" i="25"/>
  <c r="E6" i="25"/>
  <c r="I21" i="22"/>
  <c r="I20" i="22"/>
  <c r="I16" i="22"/>
  <c r="Q8" i="25"/>
  <c r="E20" i="19"/>
  <c r="E15" i="19"/>
  <c r="E16" i="19"/>
  <c r="I17" i="22"/>
  <c r="E9" i="25"/>
  <c r="I23" i="22"/>
  <c r="E8" i="25"/>
  <c r="E17" i="19"/>
  <c r="I22" i="22"/>
  <c r="C10" i="19"/>
  <c r="C9" i="19"/>
  <c r="C7" i="19"/>
  <c r="C5" i="19"/>
  <c r="C8" i="19"/>
  <c r="C6" i="19"/>
  <c r="Q10" i="25"/>
  <c r="I15" i="25"/>
  <c r="M5" i="25"/>
  <c r="E14" i="25"/>
  <c r="I5" i="25"/>
  <c r="I19" i="25"/>
  <c r="M15" i="25"/>
  <c r="M18" i="25"/>
  <c r="I17" i="25"/>
  <c r="M16" i="25"/>
  <c r="M17" i="25"/>
  <c r="I15" i="22" l="1"/>
  <c r="Q5" i="25"/>
  <c r="D4" i="19"/>
  <c r="I14" i="25"/>
  <c r="M14" i="25"/>
  <c r="E5" i="25"/>
  <c r="F15" i="22"/>
  <c r="D15" i="22"/>
  <c r="E20" i="22" s="1"/>
  <c r="B15" i="22"/>
  <c r="H4" i="22"/>
  <c r="I8" i="22" s="1"/>
  <c r="F4" i="22"/>
  <c r="G7" i="22" s="1"/>
  <c r="D4" i="22"/>
  <c r="E12" i="22" s="1"/>
  <c r="B4" i="22"/>
  <c r="C12" i="22" s="1"/>
  <c r="N19" i="23"/>
  <c r="N20" i="23"/>
  <c r="N21" i="23"/>
  <c r="N22" i="23"/>
  <c r="N23" i="23"/>
  <c r="N18" i="23"/>
  <c r="N16" i="23" l="1"/>
  <c r="Q17" i="23" s="1"/>
  <c r="G23" i="22"/>
  <c r="G16" i="22"/>
  <c r="E17" i="22"/>
  <c r="E19" i="22"/>
  <c r="G20" i="22"/>
  <c r="F4" i="19"/>
  <c r="E21" i="22"/>
  <c r="E6" i="19"/>
  <c r="E5" i="19"/>
  <c r="E10" i="19"/>
  <c r="E8" i="19"/>
  <c r="E9" i="19"/>
  <c r="E7" i="19"/>
  <c r="G12" i="22"/>
  <c r="C4" i="22"/>
  <c r="E22" i="22"/>
  <c r="E15" i="22"/>
  <c r="C17" i="22"/>
  <c r="C21" i="22"/>
  <c r="C22" i="22"/>
  <c r="C19" i="22"/>
  <c r="C18" i="22"/>
  <c r="I6" i="22"/>
  <c r="C8" i="22"/>
  <c r="G5" i="22"/>
  <c r="C9" i="22"/>
  <c r="G9" i="22"/>
  <c r="C6" i="22"/>
  <c r="C10" i="22"/>
  <c r="C7" i="22"/>
  <c r="C11" i="22"/>
  <c r="G22" i="22"/>
  <c r="E11" i="22"/>
  <c r="I7" i="22"/>
  <c r="I12" i="22"/>
  <c r="I9" i="22"/>
  <c r="E10" i="22"/>
  <c r="C16" i="22"/>
  <c r="E18" i="22"/>
  <c r="G21" i="22"/>
  <c r="C23" i="22"/>
  <c r="G15" i="22"/>
  <c r="G11" i="22"/>
  <c r="I5" i="22"/>
  <c r="E6" i="22"/>
  <c r="G8" i="22"/>
  <c r="G17" i="22"/>
  <c r="G6" i="22"/>
  <c r="C5" i="22"/>
  <c r="E7" i="22"/>
  <c r="G10" i="22"/>
  <c r="C15" i="22"/>
  <c r="E16" i="22"/>
  <c r="G18" i="22"/>
  <c r="C20" i="22"/>
  <c r="I11" i="22"/>
  <c r="E23" i="22"/>
  <c r="E9" i="22"/>
  <c r="E4" i="22"/>
  <c r="I10" i="22"/>
  <c r="I4" i="22"/>
  <c r="G4" i="22"/>
  <c r="E8" i="22"/>
  <c r="G19" i="22"/>
  <c r="E5" i="22"/>
  <c r="P16" i="23"/>
  <c r="J23" i="23"/>
  <c r="F23" i="23"/>
  <c r="E23" i="23"/>
  <c r="Q12" i="23"/>
  <c r="J22" i="23"/>
  <c r="F22" i="23"/>
  <c r="E22" i="23"/>
  <c r="J21" i="23"/>
  <c r="F21" i="23"/>
  <c r="E21" i="23"/>
  <c r="Q10" i="23"/>
  <c r="J20" i="23"/>
  <c r="F20" i="23"/>
  <c r="E20" i="23"/>
  <c r="Q9" i="23"/>
  <c r="J19" i="23"/>
  <c r="F19" i="23"/>
  <c r="E19" i="23"/>
  <c r="Q8" i="23"/>
  <c r="J18" i="23"/>
  <c r="F18" i="23"/>
  <c r="E18" i="23"/>
  <c r="Q7" i="23"/>
  <c r="J17" i="23"/>
  <c r="F17" i="23"/>
  <c r="E17" i="23"/>
  <c r="L16" i="23"/>
  <c r="K16" i="23"/>
  <c r="H16" i="23"/>
  <c r="G16" i="23"/>
  <c r="M12" i="23"/>
  <c r="I12" i="23"/>
  <c r="E12" i="23"/>
  <c r="M11" i="23"/>
  <c r="I11" i="23"/>
  <c r="M10" i="23"/>
  <c r="I10" i="23"/>
  <c r="E10" i="23"/>
  <c r="M9" i="23"/>
  <c r="I9" i="23"/>
  <c r="E9" i="23"/>
  <c r="M8" i="23"/>
  <c r="I8" i="23"/>
  <c r="E8" i="23"/>
  <c r="M7" i="23"/>
  <c r="I7" i="23"/>
  <c r="E7" i="23"/>
  <c r="M6" i="23"/>
  <c r="I6" i="23"/>
  <c r="E6" i="23"/>
  <c r="C11" i="21"/>
  <c r="C10" i="21"/>
  <c r="C9" i="21"/>
  <c r="C8" i="21"/>
  <c r="C7" i="21"/>
  <c r="C6" i="21"/>
  <c r="C5" i="21"/>
  <c r="C21" i="21"/>
  <c r="K11" i="21"/>
  <c r="I11" i="21"/>
  <c r="C20" i="21"/>
  <c r="K10" i="21"/>
  <c r="I10" i="21"/>
  <c r="C19" i="21"/>
  <c r="K9" i="21"/>
  <c r="I9" i="21"/>
  <c r="C18" i="21"/>
  <c r="K8" i="21"/>
  <c r="I8" i="21"/>
  <c r="C17" i="21"/>
  <c r="K7" i="21"/>
  <c r="I7" i="21"/>
  <c r="C16" i="21"/>
  <c r="K6" i="21"/>
  <c r="I6" i="21"/>
  <c r="C15" i="21"/>
  <c r="K5" i="21"/>
  <c r="I5" i="21"/>
  <c r="F14" i="21"/>
  <c r="G15" i="21" s="1"/>
  <c r="D14" i="21"/>
  <c r="E15" i="21" s="1"/>
  <c r="G11" i="21"/>
  <c r="E11" i="21"/>
  <c r="G10" i="21"/>
  <c r="E10" i="21"/>
  <c r="G9" i="21"/>
  <c r="E9" i="21"/>
  <c r="G8" i="21"/>
  <c r="E8" i="21"/>
  <c r="G7" i="21"/>
  <c r="E7" i="21"/>
  <c r="G6" i="21"/>
  <c r="E6" i="21"/>
  <c r="G5" i="21"/>
  <c r="E5" i="21"/>
  <c r="I21" i="19"/>
  <c r="I14" i="19" s="1"/>
  <c r="G21" i="19"/>
  <c r="G14" i="19" s="1"/>
  <c r="E21" i="19"/>
  <c r="E14" i="19" s="1"/>
  <c r="Q19" i="23" l="1"/>
  <c r="C4" i="21"/>
  <c r="I4" i="21"/>
  <c r="E5" i="23"/>
  <c r="G4" i="21"/>
  <c r="E19" i="21"/>
  <c r="Q5" i="23"/>
  <c r="E4" i="21"/>
  <c r="C14" i="21"/>
  <c r="E17" i="21"/>
  <c r="M5" i="23"/>
  <c r="E16" i="23"/>
  <c r="Q18" i="23"/>
  <c r="Q16" i="23" s="1"/>
  <c r="G5" i="19"/>
  <c r="G9" i="19"/>
  <c r="G7" i="19"/>
  <c r="G10" i="19"/>
  <c r="G8" i="19"/>
  <c r="G6" i="19"/>
  <c r="F16" i="23"/>
  <c r="I22" i="23" s="1"/>
  <c r="J16" i="23"/>
  <c r="M23" i="23" s="1"/>
  <c r="I16" i="21"/>
  <c r="I21" i="21"/>
  <c r="I20" i="21"/>
  <c r="I19" i="21"/>
  <c r="I18" i="21"/>
  <c r="I17" i="21"/>
  <c r="G21" i="21"/>
  <c r="G20" i="21"/>
  <c r="G17" i="21"/>
  <c r="G19" i="21"/>
  <c r="G18" i="21"/>
  <c r="G16" i="21"/>
  <c r="K4" i="21"/>
  <c r="E18" i="21"/>
  <c r="E21" i="21"/>
  <c r="E20" i="21"/>
  <c r="E16" i="21"/>
  <c r="I5" i="23"/>
  <c r="I17" i="23" l="1"/>
  <c r="I14" i="21"/>
  <c r="U5" i="23"/>
  <c r="M18" i="23"/>
  <c r="M17" i="23"/>
  <c r="G14" i="21"/>
  <c r="I21" i="23"/>
  <c r="I20" i="23"/>
  <c r="M22" i="23"/>
  <c r="M19" i="23"/>
  <c r="M20" i="23"/>
  <c r="M21" i="23"/>
  <c r="E14" i="21"/>
  <c r="I19" i="23"/>
  <c r="I23" i="23"/>
  <c r="I18" i="23"/>
  <c r="I16" i="23" l="1"/>
  <c r="M16" i="23"/>
  <c r="H4" i="19"/>
  <c r="I5" i="19" l="1"/>
  <c r="I10" i="19"/>
  <c r="I9" i="19"/>
  <c r="I6" i="19"/>
  <c r="I8" i="19"/>
  <c r="I7" i="19"/>
  <c r="I4" i="19" l="1"/>
  <c r="T4" i="30"/>
  <c r="T9" i="30" s="1"/>
  <c r="T7" i="30"/>
  <c r="T15" i="30" l="1"/>
  <c r="T19" i="30"/>
  <c r="T11" i="30"/>
  <c r="T13" i="30"/>
  <c r="T21" i="30"/>
  <c r="T17" i="30"/>
  <c r="T5" i="30" l="1"/>
</calcChain>
</file>

<file path=xl/sharedStrings.xml><?xml version="1.0" encoding="utf-8"?>
<sst xmlns="http://schemas.openxmlformats.org/spreadsheetml/2006/main" count="3210" uniqueCount="788">
  <si>
    <t>總計</t>
    <phoneticPr fontId="3" type="noConversion"/>
  </si>
  <si>
    <t>少年觸法事件</t>
    <phoneticPr fontId="3" type="noConversion"/>
  </si>
  <si>
    <t>少年曝險事件</t>
    <phoneticPr fontId="3" type="noConversion"/>
  </si>
  <si>
    <r>
      <t xml:space="preserve"> </t>
    </r>
    <r>
      <rPr>
        <sz val="12"/>
        <color theme="1"/>
        <rFont val="新細明體"/>
        <family val="2"/>
        <charset val="136"/>
        <scheme val="minor"/>
      </rPr>
      <t>總計</t>
    </r>
    <phoneticPr fontId="3" type="noConversion"/>
  </si>
  <si>
    <t>終結情形︵人︶</t>
    <phoneticPr fontId="3" type="noConversion"/>
  </si>
  <si>
    <r>
      <t>終結情形</t>
    </r>
    <r>
      <rPr>
        <sz val="12"/>
        <color theme="1"/>
        <rFont val="新細明體"/>
        <family val="2"/>
        <charset val="136"/>
        <scheme val="minor"/>
      </rPr>
      <t>總計</t>
    </r>
    <phoneticPr fontId="3" type="noConversion"/>
  </si>
  <si>
    <t>　　移送地檢署</t>
    <phoneticPr fontId="3" type="noConversion"/>
  </si>
  <si>
    <t>小計</t>
    <phoneticPr fontId="3" type="noConversion"/>
  </si>
  <si>
    <r>
      <t xml:space="preserve">                  </t>
    </r>
    <r>
      <rPr>
        <sz val="12"/>
        <color theme="1"/>
        <rFont val="新細明體"/>
        <family val="2"/>
        <charset val="136"/>
        <scheme val="minor"/>
      </rPr>
      <t>犯最輕本刑為五年以上有期徒刑之罪</t>
    </r>
    <phoneticPr fontId="3" type="noConversion"/>
  </si>
  <si>
    <t>-</t>
    <phoneticPr fontId="3" type="noConversion"/>
  </si>
  <si>
    <r>
      <t xml:space="preserve">                  </t>
    </r>
    <r>
      <rPr>
        <sz val="12"/>
        <color theme="1"/>
        <rFont val="新細明體"/>
        <family val="2"/>
        <charset val="136"/>
        <scheme val="minor"/>
      </rPr>
      <t>犯罪情節重大</t>
    </r>
    <phoneticPr fontId="3" type="noConversion"/>
  </si>
  <si>
    <t>　　不付審理總計</t>
    <phoneticPr fontId="3" type="noConversion"/>
  </si>
  <si>
    <t>　　　　應不付審理</t>
    <phoneticPr fontId="3" type="noConversion"/>
  </si>
  <si>
    <r>
      <t>　　　　情節輕微</t>
    </r>
    <r>
      <rPr>
        <sz val="12"/>
        <color theme="1"/>
        <rFont val="新細明體"/>
        <family val="2"/>
        <charset val="136"/>
        <scheme val="minor"/>
      </rPr>
      <t>不付審理</t>
    </r>
    <phoneticPr fontId="3" type="noConversion"/>
  </si>
  <si>
    <r>
      <rPr>
        <sz val="12"/>
        <color theme="1"/>
        <rFont val="新細明體"/>
        <family val="2"/>
        <charset val="136"/>
        <scheme val="minor"/>
      </rPr>
      <t>小計</t>
    </r>
    <phoneticPr fontId="3" type="noConversion"/>
  </si>
  <si>
    <r>
      <t xml:space="preserve">        </t>
    </r>
    <r>
      <rPr>
        <sz val="12"/>
        <color theme="1"/>
        <rFont val="新細明體"/>
        <family val="2"/>
        <charset val="136"/>
        <scheme val="minor"/>
      </rPr>
      <t>轉介輔導</t>
    </r>
    <phoneticPr fontId="3" type="noConversion"/>
  </si>
  <si>
    <r>
      <t xml:space="preserve">        </t>
    </r>
    <r>
      <rPr>
        <sz val="12"/>
        <color theme="1"/>
        <rFont val="新細明體"/>
        <family val="2"/>
        <charset val="136"/>
        <scheme val="minor"/>
      </rPr>
      <t>交付管教</t>
    </r>
    <phoneticPr fontId="3" type="noConversion"/>
  </si>
  <si>
    <r>
      <t xml:space="preserve">        </t>
    </r>
    <r>
      <rPr>
        <sz val="12"/>
        <color theme="1"/>
        <rFont val="新細明體"/>
        <family val="2"/>
        <charset val="136"/>
        <scheme val="minor"/>
      </rPr>
      <t>告誡</t>
    </r>
    <phoneticPr fontId="3" type="noConversion"/>
  </si>
  <si>
    <t>　　開始審理</t>
    <phoneticPr fontId="3" type="noConversion"/>
  </si>
  <si>
    <t>　　協尋</t>
    <phoneticPr fontId="3" type="noConversion"/>
  </si>
  <si>
    <t>　　併辦</t>
    <phoneticPr fontId="3" type="noConversion"/>
  </si>
  <si>
    <t>　　其他</t>
    <phoneticPr fontId="3" type="noConversion"/>
  </si>
  <si>
    <r>
      <t xml:space="preserve"> </t>
    </r>
    <r>
      <rPr>
        <sz val="12"/>
        <color theme="1"/>
        <rFont val="新細明體"/>
        <family val="2"/>
        <charset val="136"/>
        <scheme val="minor"/>
      </rPr>
      <t>治療人數</t>
    </r>
    <phoneticPr fontId="3" type="noConversion"/>
  </si>
  <si>
    <t>說　　明：本表之少年觸法，為少年觸犯刑罰法令。本表以下皆同。</t>
    <phoneticPr fontId="3" type="noConversion"/>
  </si>
  <si>
    <r>
      <t>受理</t>
    </r>
    <r>
      <rPr>
        <sz val="12"/>
        <color rgb="FF000000"/>
        <rFont val="新細明體"/>
        <family val="1"/>
        <charset val="136"/>
      </rPr>
      <t>情形</t>
    </r>
    <phoneticPr fontId="3" type="noConversion"/>
  </si>
  <si>
    <r>
      <t xml:space="preserve">                  </t>
    </r>
    <r>
      <rPr>
        <sz val="12"/>
        <color theme="1"/>
        <rFont val="新細明體"/>
        <family val="2"/>
        <charset val="136"/>
        <scheme val="minor"/>
      </rPr>
      <t>舊受</t>
    </r>
    <r>
      <rPr>
        <sz val="12"/>
        <color rgb="FF000000"/>
        <rFont val="新細明體"/>
        <family val="1"/>
        <charset val="136"/>
      </rPr>
      <t>件數</t>
    </r>
    <phoneticPr fontId="3" type="noConversion"/>
  </si>
  <si>
    <r>
      <t xml:space="preserve">                  </t>
    </r>
    <r>
      <rPr>
        <sz val="12"/>
        <color theme="1"/>
        <rFont val="新細明體"/>
        <family val="2"/>
        <charset val="136"/>
        <scheme val="minor"/>
      </rPr>
      <t>新收</t>
    </r>
    <r>
      <rPr>
        <sz val="12"/>
        <color rgb="FF000000"/>
        <rFont val="新細明體"/>
        <family val="1"/>
        <charset val="136"/>
      </rPr>
      <t>件數</t>
    </r>
    <phoneticPr fontId="3" type="noConversion"/>
  </si>
  <si>
    <r>
      <t xml:space="preserve">                  </t>
    </r>
    <r>
      <rPr>
        <sz val="12"/>
        <color theme="1"/>
        <rFont val="新細明體"/>
        <family val="2"/>
        <charset val="136"/>
        <scheme val="minor"/>
      </rPr>
      <t>終結</t>
    </r>
    <r>
      <rPr>
        <sz val="12"/>
        <color rgb="FF000000"/>
        <rFont val="新細明體"/>
        <family val="1"/>
        <charset val="136"/>
      </rPr>
      <t>件數</t>
    </r>
    <phoneticPr fontId="3" type="noConversion"/>
  </si>
  <si>
    <r>
      <t xml:space="preserve">                  </t>
    </r>
    <r>
      <rPr>
        <sz val="12"/>
        <color theme="1"/>
        <rFont val="新細明體"/>
        <family val="2"/>
        <charset val="136"/>
        <scheme val="minor"/>
      </rPr>
      <t>未結</t>
    </r>
    <r>
      <rPr>
        <sz val="12"/>
        <color rgb="FF000000"/>
        <rFont val="新細明體"/>
        <family val="1"/>
        <charset val="136"/>
      </rPr>
      <t>件數</t>
    </r>
    <phoneticPr fontId="3" type="noConversion"/>
  </si>
  <si>
    <r>
      <rPr>
        <sz val="12"/>
        <color theme="1"/>
        <rFont val="新細明體"/>
        <family val="2"/>
        <charset val="136"/>
        <scheme val="minor"/>
      </rPr>
      <t>　　移送</t>
    </r>
    <r>
      <rPr>
        <sz val="12"/>
        <color rgb="FF000000"/>
        <rFont val="Times New Roman"/>
        <family val="1"/>
      </rPr>
      <t>(</t>
    </r>
    <r>
      <rPr>
        <sz val="12"/>
        <color theme="1"/>
        <rFont val="新細明體"/>
        <family val="2"/>
        <charset val="136"/>
        <scheme val="minor"/>
      </rPr>
      <t>轉</t>
    </r>
    <r>
      <rPr>
        <sz val="12"/>
        <color rgb="FF000000"/>
        <rFont val="Times New Roman"/>
        <family val="1"/>
      </rPr>
      <t>)</t>
    </r>
    <r>
      <rPr>
        <sz val="12"/>
        <color theme="1"/>
        <rFont val="新細明體"/>
        <family val="2"/>
        <charset val="136"/>
        <scheme val="minor"/>
      </rPr>
      <t>管轄</t>
    </r>
    <phoneticPr fontId="3" type="noConversion"/>
  </si>
  <si>
    <t>-</t>
    <phoneticPr fontId="11" type="noConversion"/>
  </si>
  <si>
    <r>
      <rPr>
        <sz val="10"/>
        <color rgb="FF000000"/>
        <rFont val="新細明體"/>
        <family val="1"/>
        <charset val="136"/>
      </rPr>
      <t>資料來源：司法院</t>
    </r>
    <r>
      <rPr>
        <sz val="10"/>
        <color rgb="FF000000"/>
        <rFont val="Times New Roman"/>
        <family val="1"/>
      </rPr>
      <t xml:space="preserve"> (</t>
    </r>
    <r>
      <rPr>
        <sz val="10"/>
        <color rgb="FF000000"/>
        <rFont val="新細明體"/>
        <family val="1"/>
        <charset val="136"/>
      </rPr>
      <t>表</t>
    </r>
    <r>
      <rPr>
        <sz val="10"/>
        <color rgb="FF000000"/>
        <rFont val="Times New Roman"/>
        <family val="1"/>
      </rPr>
      <t>10914-03-01-05)</t>
    </r>
    <r>
      <rPr>
        <sz val="10"/>
        <color rgb="FF000000"/>
        <rFont val="新細明體"/>
        <family val="1"/>
        <charset val="136"/>
      </rPr>
      <t>。</t>
    </r>
    <phoneticPr fontId="3" type="noConversion"/>
  </si>
  <si>
    <r>
      <rPr>
        <sz val="15"/>
        <rFont val="新細明體"/>
        <family val="1"/>
        <charset val="136"/>
      </rPr>
      <t>表</t>
    </r>
    <r>
      <rPr>
        <sz val="15"/>
        <rFont val="Times New Roman"/>
        <family val="1"/>
      </rPr>
      <t>3-2-2</t>
    </r>
    <r>
      <rPr>
        <sz val="15"/>
        <rFont val="新細明體"/>
        <family val="1"/>
        <charset val="136"/>
      </rPr>
      <t>　近</t>
    </r>
    <r>
      <rPr>
        <sz val="15"/>
        <rFont val="Times New Roman"/>
        <family val="1"/>
      </rPr>
      <t>10</t>
    </r>
    <r>
      <rPr>
        <sz val="15"/>
        <rFont val="新細明體"/>
        <family val="1"/>
        <charset val="136"/>
      </rPr>
      <t>年少年保護事件審理終結情形</t>
    </r>
    <phoneticPr fontId="3" type="noConversion"/>
  </si>
  <si>
    <r>
      <rPr>
        <sz val="12"/>
        <rFont val="新細明體"/>
        <family val="1"/>
        <charset val="136"/>
      </rPr>
      <t>移送︵轉︶管轄</t>
    </r>
    <phoneticPr fontId="3" type="noConversion"/>
  </si>
  <si>
    <r>
      <rPr>
        <sz val="12"/>
        <rFont val="新細明體"/>
        <family val="1"/>
        <charset val="136"/>
      </rPr>
      <t>移送檢察署</t>
    </r>
    <phoneticPr fontId="3" type="noConversion"/>
  </si>
  <si>
    <r>
      <rPr>
        <sz val="12"/>
        <rFont val="新細明體"/>
        <family val="1"/>
        <charset val="136"/>
      </rPr>
      <t>不付保護處分</t>
    </r>
    <phoneticPr fontId="3" type="noConversion"/>
  </si>
  <si>
    <r>
      <rPr>
        <sz val="12"/>
        <color theme="1"/>
        <rFont val="新細明體"/>
        <family val="2"/>
        <charset val="136"/>
        <scheme val="minor"/>
      </rPr>
      <t>其他</t>
    </r>
    <phoneticPr fontId="3" type="noConversion"/>
  </si>
  <si>
    <r>
      <t>103年</t>
    </r>
    <r>
      <rPr>
        <sz val="12"/>
        <color theme="1"/>
        <rFont val="新細明體"/>
        <family val="2"/>
        <charset val="136"/>
        <scheme val="minor"/>
      </rPr>
      <t/>
    </r>
  </si>
  <si>
    <r>
      <t>104年</t>
    </r>
    <r>
      <rPr>
        <sz val="12"/>
        <color theme="1"/>
        <rFont val="新細明體"/>
        <family val="2"/>
        <charset val="136"/>
        <scheme val="minor"/>
      </rPr>
      <t/>
    </r>
  </si>
  <si>
    <r>
      <t>105年</t>
    </r>
    <r>
      <rPr>
        <sz val="12"/>
        <color theme="1"/>
        <rFont val="新細明體"/>
        <family val="2"/>
        <charset val="136"/>
        <scheme val="minor"/>
      </rPr>
      <t/>
    </r>
  </si>
  <si>
    <r>
      <t>106年</t>
    </r>
    <r>
      <rPr>
        <sz val="12"/>
        <color theme="1"/>
        <rFont val="新細明體"/>
        <family val="2"/>
        <charset val="136"/>
        <scheme val="minor"/>
      </rPr>
      <t/>
    </r>
  </si>
  <si>
    <r>
      <t>107年</t>
    </r>
    <r>
      <rPr>
        <sz val="12"/>
        <color theme="1"/>
        <rFont val="新細明體"/>
        <family val="2"/>
        <charset val="136"/>
        <scheme val="minor"/>
      </rPr>
      <t/>
    </r>
  </si>
  <si>
    <r>
      <t>108年</t>
    </r>
    <r>
      <rPr>
        <sz val="12"/>
        <color theme="1"/>
        <rFont val="新細明體"/>
        <family val="2"/>
        <charset val="136"/>
        <scheme val="minor"/>
      </rPr>
      <t/>
    </r>
  </si>
  <si>
    <r>
      <t>109年</t>
    </r>
    <r>
      <rPr>
        <sz val="12"/>
        <color theme="1"/>
        <rFont val="新細明體"/>
        <family val="2"/>
        <charset val="136"/>
        <scheme val="minor"/>
      </rPr>
      <t/>
    </r>
  </si>
  <si>
    <t>110年</t>
    <phoneticPr fontId="2" type="noConversion"/>
  </si>
  <si>
    <r>
      <t>111</t>
    </r>
    <r>
      <rPr>
        <sz val="12"/>
        <rFont val="PMingLiU"/>
        <family val="1"/>
        <charset val="136"/>
      </rPr>
      <t>年</t>
    </r>
    <phoneticPr fontId="2"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</si>
  <si>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10914-03-02-05)</t>
    </r>
    <r>
      <rPr>
        <sz val="10"/>
        <rFont val="新細明體"/>
        <family val="1"/>
        <charset val="136"/>
      </rPr>
      <t>。</t>
    </r>
    <phoneticPr fontId="3" type="noConversion"/>
  </si>
  <si>
    <r>
      <rPr>
        <sz val="10"/>
        <rFont val="新細明體"/>
        <family val="1"/>
        <charset val="136"/>
      </rPr>
      <t>　　　　　</t>
    </r>
    <r>
      <rPr>
        <sz val="10"/>
        <rFont val="Times New Roman"/>
        <family val="1"/>
      </rPr>
      <t xml:space="preserve">2. </t>
    </r>
    <r>
      <rPr>
        <sz val="10"/>
        <rFont val="新細明體"/>
        <family val="1"/>
        <charset val="136"/>
      </rPr>
      <t>不付保護處分含：不應交付、不宜交付、其他項。</t>
    </r>
    <phoneticPr fontId="3" type="noConversion"/>
  </si>
  <si>
    <r>
      <rPr>
        <sz val="12"/>
        <color theme="1"/>
        <rFont val="新細明體"/>
        <family val="2"/>
        <charset val="136"/>
        <scheme val="minor"/>
      </rPr>
      <t>總計</t>
    </r>
    <phoneticPr fontId="3" type="noConversion"/>
  </si>
  <si>
    <t>-</t>
  </si>
  <si>
    <t>-</t>
    <phoneticPr fontId="20" type="noConversion"/>
  </si>
  <si>
    <r>
      <rPr>
        <sz val="11"/>
        <rFont val="新細明體"/>
        <family val="1"/>
        <charset val="136"/>
      </rPr>
      <t>其他</t>
    </r>
    <phoneticPr fontId="3"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</si>
  <si>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10914-02-03-05)</t>
    </r>
    <r>
      <rPr>
        <sz val="10"/>
        <rFont val="新細明體"/>
        <family val="1"/>
        <charset val="136"/>
      </rPr>
      <t>。</t>
    </r>
    <phoneticPr fontId="3" type="noConversion"/>
  </si>
  <si>
    <t>男</t>
    <phoneticPr fontId="3" type="noConversion"/>
  </si>
  <si>
    <t>女</t>
    <phoneticPr fontId="3" type="noConversion"/>
  </si>
  <si>
    <r>
      <t>103年</t>
    </r>
    <r>
      <rPr>
        <sz val="12"/>
        <color theme="1"/>
        <rFont val="新細明體"/>
        <family val="2"/>
      </rPr>
      <t/>
    </r>
  </si>
  <si>
    <r>
      <t>104年</t>
    </r>
    <r>
      <rPr>
        <sz val="12"/>
        <color theme="1"/>
        <rFont val="新細明體"/>
        <family val="2"/>
      </rPr>
      <t/>
    </r>
  </si>
  <si>
    <r>
      <t>105年</t>
    </r>
    <r>
      <rPr>
        <sz val="12"/>
        <color theme="1"/>
        <rFont val="新細明體"/>
        <family val="2"/>
      </rPr>
      <t/>
    </r>
  </si>
  <si>
    <r>
      <t>106年</t>
    </r>
    <r>
      <rPr>
        <sz val="12"/>
        <color theme="1"/>
        <rFont val="新細明體"/>
        <family val="2"/>
      </rPr>
      <t/>
    </r>
  </si>
  <si>
    <r>
      <rPr>
        <sz val="12"/>
        <color theme="1"/>
        <rFont val="新細明體"/>
        <family val="2"/>
      </rPr>
      <t>人</t>
    </r>
    <phoneticPr fontId="3" type="noConversion"/>
  </si>
  <si>
    <t>%</t>
    <phoneticPr fontId="3" type="noConversion"/>
  </si>
  <si>
    <r>
      <rPr>
        <sz val="12"/>
        <color theme="1"/>
        <rFont val="新細明體"/>
        <family val="2"/>
      </rPr>
      <t>總計</t>
    </r>
    <phoneticPr fontId="3" type="noConversion"/>
  </si>
  <si>
    <r>
      <rPr>
        <sz val="12"/>
        <color theme="1"/>
        <rFont val="新細明體"/>
        <family val="2"/>
      </rPr>
      <t>男</t>
    </r>
    <phoneticPr fontId="3" type="noConversion"/>
  </si>
  <si>
    <r>
      <rPr>
        <sz val="12"/>
        <color theme="1"/>
        <rFont val="新細明體"/>
        <family val="2"/>
      </rPr>
      <t>女</t>
    </r>
    <phoneticPr fontId="3" type="noConversion"/>
  </si>
  <si>
    <r>
      <rPr>
        <sz val="12"/>
        <color theme="1"/>
        <rFont val="新細明體"/>
        <family val="2"/>
      </rPr>
      <t>勉足維持生活</t>
    </r>
    <phoneticPr fontId="3" type="noConversion"/>
  </si>
  <si>
    <r>
      <rPr>
        <sz val="12"/>
        <color theme="1"/>
        <rFont val="新細明體"/>
        <family val="2"/>
      </rPr>
      <t>小康之家</t>
    </r>
    <phoneticPr fontId="3" type="noConversion"/>
  </si>
  <si>
    <r>
      <rPr>
        <sz val="12"/>
        <color theme="1"/>
        <rFont val="新細明體"/>
        <family val="2"/>
      </rPr>
      <t>低收入戶</t>
    </r>
    <phoneticPr fontId="3" type="noConversion"/>
  </si>
  <si>
    <r>
      <rPr>
        <sz val="12"/>
        <color theme="1"/>
        <rFont val="新細明體"/>
        <family val="2"/>
      </rPr>
      <t>中產以上</t>
    </r>
    <phoneticPr fontId="3" type="noConversion"/>
  </si>
  <si>
    <r>
      <rPr>
        <sz val="12"/>
        <color theme="1"/>
        <rFont val="新細明體"/>
        <family val="2"/>
      </rPr>
      <t>不詳</t>
    </r>
    <phoneticPr fontId="3" type="noConversion"/>
  </si>
  <si>
    <r>
      <t>107年</t>
    </r>
    <r>
      <rPr>
        <sz val="12"/>
        <color theme="1"/>
        <rFont val="新細明體"/>
        <family val="2"/>
      </rPr>
      <t/>
    </r>
  </si>
  <si>
    <r>
      <t>108年</t>
    </r>
    <r>
      <rPr>
        <sz val="12"/>
        <color theme="1"/>
        <rFont val="新細明體"/>
        <family val="2"/>
      </rPr>
      <t/>
    </r>
  </si>
  <si>
    <r>
      <t>109年</t>
    </r>
    <r>
      <rPr>
        <sz val="12"/>
        <color theme="1"/>
        <rFont val="新細明體"/>
        <family val="2"/>
      </rPr>
      <t/>
    </r>
  </si>
  <si>
    <r>
      <t>110年</t>
    </r>
    <r>
      <rPr>
        <sz val="12"/>
        <color theme="1"/>
        <rFont val="新細明體"/>
        <family val="2"/>
      </rPr>
      <t/>
    </r>
  </si>
  <si>
    <t>111年</t>
    <phoneticPr fontId="2" type="noConversion"/>
  </si>
  <si>
    <r>
      <rPr>
        <sz val="10"/>
        <rFont val="細明體"/>
        <family val="3"/>
        <charset val="136"/>
      </rPr>
      <t>資料來源：司法院</t>
    </r>
    <r>
      <rPr>
        <sz val="10"/>
        <rFont val="Times New Roman"/>
        <family val="1"/>
      </rPr>
      <t xml:space="preserve"> (</t>
    </r>
    <r>
      <rPr>
        <sz val="10"/>
        <rFont val="細明體"/>
        <family val="3"/>
        <charset val="136"/>
      </rPr>
      <t>表</t>
    </r>
    <r>
      <rPr>
        <sz val="10"/>
        <rFont val="Times New Roman"/>
        <family val="1"/>
      </rPr>
      <t>10914-02-05-05)</t>
    </r>
    <r>
      <rPr>
        <sz val="10"/>
        <rFont val="細明體"/>
        <family val="3"/>
        <charset val="136"/>
      </rPr>
      <t>。</t>
    </r>
    <r>
      <rPr>
        <sz val="10"/>
        <rFont val="Times New Roman"/>
        <family val="1"/>
      </rPr>
      <t xml:space="preserve">
</t>
    </r>
    <r>
      <rPr>
        <sz val="10"/>
        <rFont val="細明體"/>
        <family val="3"/>
        <charset val="136"/>
      </rPr>
      <t>說　　明：</t>
    </r>
    <r>
      <rPr>
        <sz val="10"/>
        <rFont val="Times New Roman"/>
        <family val="1"/>
      </rPr>
      <t xml:space="preserve">1. </t>
    </r>
    <r>
      <rPr>
        <sz val="10"/>
        <rFont val="細明體"/>
        <family val="3"/>
        <charset val="136"/>
      </rPr>
      <t>本表原始檔案總計人數和前表不同，敬請留意。
　　　　　</t>
    </r>
    <r>
      <rPr>
        <sz val="10"/>
        <rFont val="Times New Roman"/>
        <family val="1"/>
      </rPr>
      <t xml:space="preserve">2. </t>
    </r>
    <r>
      <rPr>
        <sz val="10"/>
        <rFont val="細明體"/>
        <family val="3"/>
        <charset val="136"/>
      </rPr>
      <t>本表刑事案件，係指當年度經法院裁判且經個案調查的少年。</t>
    </r>
    <phoneticPr fontId="3" type="noConversion"/>
  </si>
  <si>
    <t>%</t>
  </si>
  <si>
    <r>
      <rPr>
        <sz val="12"/>
        <color theme="1"/>
        <rFont val="新細明體"/>
        <family val="2"/>
        <charset val="136"/>
        <scheme val="minor"/>
      </rPr>
      <t>人</t>
    </r>
    <phoneticPr fontId="3" type="noConversion"/>
  </si>
  <si>
    <r>
      <t>110年</t>
    </r>
    <r>
      <rPr>
        <sz val="12"/>
        <color theme="1"/>
        <rFont val="新細明體"/>
        <family val="2"/>
        <charset val="136"/>
        <scheme val="minor"/>
      </rPr>
      <t/>
    </r>
  </si>
  <si>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10914-02-05-05)</t>
    </r>
    <r>
      <rPr>
        <sz val="10"/>
        <rFont val="新細明體"/>
        <family val="1"/>
        <charset val="136"/>
      </rPr>
      <t>。</t>
    </r>
    <phoneticPr fontId="3" type="noConversion"/>
  </si>
  <si>
    <r>
      <rPr>
        <sz val="10"/>
        <rFont val="新細明體"/>
        <family val="1"/>
        <charset val="136"/>
      </rPr>
      <t>說</t>
    </r>
    <r>
      <rPr>
        <sz val="10"/>
        <rFont val="Times New Roman"/>
        <family val="1"/>
      </rPr>
      <t xml:space="preserve">         </t>
    </r>
    <r>
      <rPr>
        <sz val="10"/>
        <rFont val="新細明體"/>
        <family val="1"/>
        <charset val="136"/>
      </rPr>
      <t>明：本表刑事案件，係指當年度經法院裁判且經個案調查的少年。</t>
    </r>
    <phoneticPr fontId="3" type="noConversion"/>
  </si>
  <si>
    <r>
      <t>104</t>
    </r>
    <r>
      <rPr>
        <sz val="12"/>
        <color theme="1"/>
        <rFont val="新細明體"/>
        <family val="2"/>
        <charset val="136"/>
      </rPr>
      <t>年</t>
    </r>
  </si>
  <si>
    <r>
      <t>105</t>
    </r>
    <r>
      <rPr>
        <sz val="12"/>
        <color theme="1"/>
        <rFont val="新細明體"/>
        <family val="2"/>
        <charset val="136"/>
      </rPr>
      <t>年</t>
    </r>
  </si>
  <si>
    <r>
      <rPr>
        <sz val="12"/>
        <color theme="1"/>
        <rFont val="新細明體"/>
        <family val="2"/>
        <charset val="136"/>
      </rPr>
      <t>人</t>
    </r>
  </si>
  <si>
    <r>
      <rPr>
        <sz val="12"/>
        <color theme="1"/>
        <rFont val="新細明體"/>
        <family val="2"/>
        <charset val="136"/>
      </rPr>
      <t>總計</t>
    </r>
  </si>
  <si>
    <r>
      <rPr>
        <sz val="12"/>
        <color theme="1"/>
        <rFont val="新細明體"/>
        <family val="2"/>
        <charset val="136"/>
      </rPr>
      <t>父母俱存</t>
    </r>
  </si>
  <si>
    <r>
      <rPr>
        <sz val="12"/>
        <color theme="1"/>
        <rFont val="新細明體"/>
        <family val="2"/>
        <charset val="136"/>
      </rPr>
      <t>母存父亡</t>
    </r>
  </si>
  <si>
    <r>
      <rPr>
        <sz val="12"/>
        <color theme="1"/>
        <rFont val="新細明體"/>
        <family val="2"/>
        <charset val="136"/>
      </rPr>
      <t>父存母亡</t>
    </r>
  </si>
  <si>
    <r>
      <rPr>
        <sz val="12"/>
        <color theme="1"/>
        <rFont val="新細明體"/>
        <family val="2"/>
        <charset val="136"/>
      </rPr>
      <t>父母俱亡</t>
    </r>
  </si>
  <si>
    <r>
      <t>108</t>
    </r>
    <r>
      <rPr>
        <sz val="12"/>
        <color theme="1"/>
        <rFont val="新細明體"/>
        <family val="2"/>
        <charset val="136"/>
      </rPr>
      <t>年</t>
    </r>
  </si>
  <si>
    <r>
      <t>109</t>
    </r>
    <r>
      <rPr>
        <sz val="12"/>
        <color theme="1"/>
        <rFont val="新細明體"/>
        <family val="2"/>
        <charset val="136"/>
      </rPr>
      <t>年</t>
    </r>
  </si>
  <si>
    <r>
      <t>110</t>
    </r>
    <r>
      <rPr>
        <sz val="12"/>
        <color theme="1"/>
        <rFont val="新細明體"/>
        <family val="2"/>
        <charset val="136"/>
      </rPr>
      <t>年</t>
    </r>
  </si>
  <si>
    <r>
      <t>111</t>
    </r>
    <r>
      <rPr>
        <sz val="12"/>
        <color theme="1"/>
        <rFont val="新細明體"/>
        <family val="2"/>
        <charset val="136"/>
      </rPr>
      <t>年</t>
    </r>
  </si>
  <si>
    <r>
      <t>106</t>
    </r>
    <r>
      <rPr>
        <sz val="12"/>
        <color theme="1"/>
        <rFont val="新細明體"/>
        <family val="2"/>
        <charset val="136"/>
      </rPr>
      <t>年</t>
    </r>
    <phoneticPr fontId="2" type="noConversion"/>
  </si>
  <si>
    <r>
      <t>103</t>
    </r>
    <r>
      <rPr>
        <sz val="12"/>
        <color theme="1"/>
        <rFont val="新細明體"/>
        <family val="2"/>
        <charset val="136"/>
      </rPr>
      <t>年</t>
    </r>
    <phoneticPr fontId="2" type="noConversion"/>
  </si>
  <si>
    <r>
      <rPr>
        <sz val="12"/>
        <color theme="1"/>
        <rFont val="新細明體"/>
        <family val="2"/>
        <charset val="136"/>
      </rPr>
      <t>父或母不詳</t>
    </r>
    <r>
      <rPr>
        <sz val="12"/>
        <color theme="1"/>
        <rFont val="Times New Roman"/>
        <family val="1"/>
      </rPr>
      <t xml:space="preserve"> </t>
    </r>
  </si>
  <si>
    <r>
      <rPr>
        <sz val="15"/>
        <rFont val="新細明體"/>
        <family val="1"/>
        <charset val="136"/>
      </rPr>
      <t>表</t>
    </r>
    <r>
      <rPr>
        <sz val="15"/>
        <rFont val="Times New Roman"/>
        <family val="1"/>
      </rPr>
      <t xml:space="preserve">3-2-20     </t>
    </r>
    <r>
      <rPr>
        <sz val="15"/>
        <rFont val="新細明體"/>
        <family val="1"/>
        <charset val="136"/>
      </rPr>
      <t>近</t>
    </r>
    <r>
      <rPr>
        <sz val="15"/>
        <rFont val="Times New Roman"/>
        <family val="1"/>
      </rPr>
      <t>10</t>
    </r>
    <r>
      <rPr>
        <sz val="15"/>
        <rFont val="新細明體"/>
        <family val="1"/>
        <charset val="136"/>
      </rPr>
      <t>年少年刑事案件父母婚姻狀況</t>
    </r>
    <phoneticPr fontId="3" type="noConversion"/>
  </si>
  <si>
    <r>
      <rPr>
        <sz val="12"/>
        <color theme="1"/>
        <rFont val="新細明體"/>
        <family val="2"/>
        <charset val="136"/>
        <scheme val="minor"/>
      </rPr>
      <t>父母離婚</t>
    </r>
    <phoneticPr fontId="3" type="noConversion"/>
  </si>
  <si>
    <r>
      <rPr>
        <sz val="12"/>
        <color theme="1"/>
        <rFont val="新細明體"/>
        <family val="2"/>
        <charset val="136"/>
        <scheme val="minor"/>
      </rPr>
      <t>正常</t>
    </r>
    <phoneticPr fontId="3" type="noConversion"/>
  </si>
  <si>
    <r>
      <rPr>
        <sz val="12"/>
        <color theme="1"/>
        <rFont val="新細明體"/>
        <family val="2"/>
        <charset val="136"/>
        <scheme val="minor"/>
      </rPr>
      <t>喪偶</t>
    </r>
    <phoneticPr fontId="3" type="noConversion"/>
  </si>
  <si>
    <r>
      <rPr>
        <sz val="12"/>
        <color theme="1"/>
        <rFont val="新細明體"/>
        <family val="2"/>
        <charset val="136"/>
        <scheme val="minor"/>
      </rPr>
      <t>離婚再婚</t>
    </r>
    <phoneticPr fontId="3" type="noConversion"/>
  </si>
  <si>
    <r>
      <rPr>
        <sz val="12"/>
        <color theme="1"/>
        <rFont val="新細明體"/>
        <family val="2"/>
        <charset val="136"/>
        <scheme val="minor"/>
      </rPr>
      <t>父母分居</t>
    </r>
    <phoneticPr fontId="3" type="noConversion"/>
  </si>
  <si>
    <r>
      <rPr>
        <sz val="12"/>
        <color theme="1"/>
        <rFont val="新細明體"/>
        <family val="2"/>
        <charset val="136"/>
        <scheme val="minor"/>
      </rPr>
      <t>喪偶再婚</t>
    </r>
    <phoneticPr fontId="3" type="noConversion"/>
  </si>
  <si>
    <r>
      <rPr>
        <sz val="12"/>
        <color theme="1"/>
        <rFont val="新細明體"/>
        <family val="2"/>
        <charset val="136"/>
      </rPr>
      <t>人</t>
    </r>
    <phoneticPr fontId="3" type="noConversion"/>
  </si>
  <si>
    <r>
      <t>103年</t>
    </r>
    <r>
      <rPr>
        <sz val="12"/>
        <color theme="1"/>
        <rFont val="新細明體"/>
        <family val="1"/>
        <charset val="136"/>
      </rPr>
      <t/>
    </r>
  </si>
  <si>
    <r>
      <t>104年</t>
    </r>
    <r>
      <rPr>
        <sz val="12"/>
        <color theme="1"/>
        <rFont val="新細明體"/>
        <family val="1"/>
        <charset val="136"/>
      </rPr>
      <t/>
    </r>
  </si>
  <si>
    <r>
      <t>105年</t>
    </r>
    <r>
      <rPr>
        <sz val="12"/>
        <color theme="1"/>
        <rFont val="新細明體"/>
        <family val="1"/>
        <charset val="136"/>
      </rPr>
      <t/>
    </r>
  </si>
  <si>
    <r>
      <rPr>
        <sz val="12"/>
        <color theme="1"/>
        <rFont val="新細明體"/>
        <family val="1"/>
        <charset val="136"/>
      </rPr>
      <t>人數</t>
    </r>
    <phoneticPr fontId="3" type="noConversion"/>
  </si>
  <si>
    <r>
      <rPr>
        <sz val="12"/>
        <color theme="1"/>
        <rFont val="新細明體"/>
        <family val="1"/>
        <charset val="136"/>
      </rPr>
      <t>百分比</t>
    </r>
    <phoneticPr fontId="3" type="noConversion"/>
  </si>
  <si>
    <r>
      <rPr>
        <sz val="12"/>
        <color theme="1"/>
        <rFont val="新細明體"/>
        <family val="1"/>
        <charset val="136"/>
      </rPr>
      <t>總計</t>
    </r>
    <phoneticPr fontId="3" type="noConversion"/>
  </si>
  <si>
    <t>總計</t>
    <phoneticPr fontId="37" type="noConversion"/>
  </si>
  <si>
    <t>吸食或施打煙毒或麻醉藥品以外之迷幻物品者</t>
  </si>
  <si>
    <t>有預備犯罪或犯罪未遂而為法所不罰之行為者</t>
  </si>
  <si>
    <t>無正當理由經常攜帶刀械者</t>
  </si>
  <si>
    <r>
      <rPr>
        <sz val="11"/>
        <color theme="1"/>
        <rFont val="新細明體"/>
        <family val="1"/>
        <charset val="136"/>
        <scheme val="major"/>
      </rPr>
      <t>經常逃學或逃家者</t>
    </r>
    <phoneticPr fontId="3" type="noConversion"/>
  </si>
  <si>
    <r>
      <rPr>
        <sz val="11"/>
        <color theme="1"/>
        <rFont val="新細明體"/>
        <family val="1"/>
        <charset val="136"/>
        <scheme val="major"/>
      </rPr>
      <t>經常與有犯罪習性之人交往者</t>
    </r>
    <phoneticPr fontId="3" type="noConversion"/>
  </si>
  <si>
    <r>
      <rPr>
        <sz val="11"/>
        <color theme="1"/>
        <rFont val="新細明體"/>
        <family val="1"/>
        <charset val="136"/>
        <scheme val="major"/>
      </rPr>
      <t>參加不良組織者</t>
    </r>
    <phoneticPr fontId="3" type="noConversion"/>
  </si>
  <si>
    <t>-</t>
    <phoneticPr fontId="37" type="noConversion"/>
  </si>
  <si>
    <r>
      <rPr>
        <sz val="11"/>
        <color theme="1"/>
        <rFont val="新細明體"/>
        <family val="1"/>
        <charset val="136"/>
        <scheme val="major"/>
      </rPr>
      <t>經常出入少年不當進入之場所者</t>
    </r>
    <phoneticPr fontId="3" type="noConversion"/>
  </si>
  <si>
    <r>
      <t>106年</t>
    </r>
    <r>
      <rPr>
        <sz val="12"/>
        <color theme="1"/>
        <rFont val="新細明體"/>
        <family val="1"/>
        <charset val="136"/>
      </rPr>
      <t/>
    </r>
  </si>
  <si>
    <r>
      <t>107年</t>
    </r>
    <r>
      <rPr>
        <sz val="12"/>
        <color theme="1"/>
        <rFont val="新細明體"/>
        <family val="1"/>
        <charset val="136"/>
      </rPr>
      <t/>
    </r>
  </si>
  <si>
    <r>
      <t>108年</t>
    </r>
    <r>
      <rPr>
        <sz val="12"/>
        <color theme="1"/>
        <rFont val="新細明體"/>
        <family val="1"/>
        <charset val="136"/>
      </rPr>
      <t/>
    </r>
  </si>
  <si>
    <r>
      <t>109年</t>
    </r>
    <r>
      <rPr>
        <sz val="12"/>
        <color theme="1"/>
        <rFont val="新細明體"/>
        <family val="1"/>
        <charset val="136"/>
      </rPr>
      <t/>
    </r>
  </si>
  <si>
    <r>
      <t>110年</t>
    </r>
    <r>
      <rPr>
        <sz val="12"/>
        <color theme="1"/>
        <rFont val="新細明體"/>
        <family val="1"/>
        <charset val="136"/>
      </rPr>
      <t/>
    </r>
  </si>
  <si>
    <t>吸食或施打煙毒或麻醉藥品以外之迷幻物品者</t>
    <phoneticPr fontId="2" type="noConversion"/>
  </si>
  <si>
    <t>有預備犯罪或犯罪未遂而為法所不罰之行為者</t>
    <phoneticPr fontId="2" type="noConversion"/>
  </si>
  <si>
    <t>無正當理由經常攜帶刀械者</t>
    <phoneticPr fontId="3" type="noConversion"/>
  </si>
  <si>
    <r>
      <rPr>
        <sz val="10"/>
        <color theme="1"/>
        <rFont val="新細明體"/>
        <family val="1"/>
        <charset val="136"/>
      </rPr>
      <t>資料來源：司法院</t>
    </r>
    <r>
      <rPr>
        <sz val="10"/>
        <color theme="1"/>
        <rFont val="Times New Roman"/>
        <family val="1"/>
      </rPr>
      <t xml:space="preserve"> (</t>
    </r>
    <r>
      <rPr>
        <sz val="10"/>
        <color theme="1"/>
        <rFont val="新細明體"/>
        <family val="1"/>
        <charset val="136"/>
      </rPr>
      <t>表</t>
    </r>
    <r>
      <rPr>
        <sz val="10"/>
        <color theme="1"/>
        <rFont val="Times New Roman"/>
        <family val="1"/>
      </rPr>
      <t>10914-03-04-05)</t>
    </r>
    <r>
      <rPr>
        <sz val="10"/>
        <color theme="1"/>
        <rFont val="新細明體"/>
        <family val="1"/>
        <charset val="136"/>
      </rPr>
      <t>。</t>
    </r>
    <phoneticPr fontId="3" type="noConversion"/>
  </si>
  <si>
    <r>
      <t>111</t>
    </r>
    <r>
      <rPr>
        <sz val="12"/>
        <color theme="1"/>
        <rFont val="新細明體"/>
        <family val="2"/>
        <charset val="136"/>
      </rPr>
      <t>年</t>
    </r>
    <phoneticPr fontId="2" type="noConversion"/>
  </si>
  <si>
    <r>
      <t>12</t>
    </r>
    <r>
      <rPr>
        <sz val="12"/>
        <color theme="1"/>
        <rFont val="新細明體"/>
        <family val="2"/>
      </rPr>
      <t>歲以上</t>
    </r>
    <r>
      <rPr>
        <sz val="12"/>
        <rFont val="Times New Roman"/>
        <family val="1"/>
      </rPr>
      <t>13</t>
    </r>
    <r>
      <rPr>
        <sz val="12"/>
        <color theme="1"/>
        <rFont val="新細明體"/>
        <family val="2"/>
      </rPr>
      <t>歲未滿</t>
    </r>
    <phoneticPr fontId="3" type="noConversion"/>
  </si>
  <si>
    <r>
      <t>13</t>
    </r>
    <r>
      <rPr>
        <sz val="12"/>
        <color theme="1"/>
        <rFont val="新細明體"/>
        <family val="2"/>
      </rPr>
      <t>歲以上</t>
    </r>
    <r>
      <rPr>
        <sz val="12"/>
        <rFont val="Times New Roman"/>
        <family val="1"/>
      </rPr>
      <t>14</t>
    </r>
    <r>
      <rPr>
        <sz val="12"/>
        <color theme="1"/>
        <rFont val="新細明體"/>
        <family val="2"/>
      </rPr>
      <t>歲未滿</t>
    </r>
    <phoneticPr fontId="3" type="noConversion"/>
  </si>
  <si>
    <r>
      <t>14</t>
    </r>
    <r>
      <rPr>
        <sz val="12"/>
        <color theme="1"/>
        <rFont val="新細明體"/>
        <family val="2"/>
      </rPr>
      <t>歲以上</t>
    </r>
    <r>
      <rPr>
        <sz val="12"/>
        <rFont val="Times New Roman"/>
        <family val="1"/>
      </rPr>
      <t>15</t>
    </r>
    <r>
      <rPr>
        <sz val="12"/>
        <color theme="1"/>
        <rFont val="新細明體"/>
        <family val="2"/>
      </rPr>
      <t>歲未滿</t>
    </r>
    <phoneticPr fontId="3" type="noConversion"/>
  </si>
  <si>
    <r>
      <t>15</t>
    </r>
    <r>
      <rPr>
        <sz val="12"/>
        <color theme="1"/>
        <rFont val="新細明體"/>
        <family val="2"/>
      </rPr>
      <t>歲以上</t>
    </r>
    <r>
      <rPr>
        <sz val="12"/>
        <rFont val="Times New Roman"/>
        <family val="1"/>
      </rPr>
      <t>16</t>
    </r>
    <r>
      <rPr>
        <sz val="12"/>
        <color theme="1"/>
        <rFont val="新細明體"/>
        <family val="2"/>
      </rPr>
      <t>歲未滿</t>
    </r>
    <phoneticPr fontId="3" type="noConversion"/>
  </si>
  <si>
    <r>
      <t>16</t>
    </r>
    <r>
      <rPr>
        <sz val="12"/>
        <color theme="1"/>
        <rFont val="新細明體"/>
        <family val="2"/>
      </rPr>
      <t>歲以上</t>
    </r>
    <r>
      <rPr>
        <sz val="12"/>
        <rFont val="Times New Roman"/>
        <family val="1"/>
      </rPr>
      <t>17</t>
    </r>
    <r>
      <rPr>
        <sz val="12"/>
        <color theme="1"/>
        <rFont val="新細明體"/>
        <family val="2"/>
      </rPr>
      <t>歲未滿</t>
    </r>
    <phoneticPr fontId="3" type="noConversion"/>
  </si>
  <si>
    <r>
      <t>17</t>
    </r>
    <r>
      <rPr>
        <sz val="12"/>
        <color theme="1"/>
        <rFont val="新細明體"/>
        <family val="2"/>
      </rPr>
      <t>歲以上</t>
    </r>
    <r>
      <rPr>
        <sz val="12"/>
        <rFont val="Times New Roman"/>
        <family val="1"/>
      </rPr>
      <t>18</t>
    </r>
    <r>
      <rPr>
        <sz val="12"/>
        <color theme="1"/>
        <rFont val="新細明體"/>
        <family val="2"/>
      </rPr>
      <t>歲未滿</t>
    </r>
    <phoneticPr fontId="3"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</si>
  <si>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10914-03-04-05)</t>
    </r>
    <r>
      <rPr>
        <sz val="10"/>
        <rFont val="新細明體"/>
        <family val="1"/>
        <charset val="136"/>
      </rPr>
      <t>。</t>
    </r>
    <phoneticPr fontId="3" type="noConversion"/>
  </si>
  <si>
    <r>
      <t>111</t>
    </r>
    <r>
      <rPr>
        <sz val="12"/>
        <color theme="1"/>
        <rFont val="新細明體"/>
        <family val="1"/>
        <charset val="136"/>
      </rPr>
      <t>年</t>
    </r>
    <phoneticPr fontId="2" type="noConversion"/>
  </si>
  <si>
    <r>
      <rPr>
        <sz val="12"/>
        <color theme="1"/>
        <rFont val="新細明體"/>
        <family val="2"/>
      </rPr>
      <t>高中</t>
    </r>
    <r>
      <rPr>
        <sz val="12"/>
        <rFont val="Times New Roman"/>
        <family val="1"/>
      </rPr>
      <t>(</t>
    </r>
    <r>
      <rPr>
        <sz val="12"/>
        <color theme="1"/>
        <rFont val="新細明體"/>
        <family val="2"/>
      </rPr>
      <t>職</t>
    </r>
    <r>
      <rPr>
        <sz val="12"/>
        <rFont val="Times New Roman"/>
        <family val="1"/>
      </rPr>
      <t>)</t>
    </r>
    <r>
      <rPr>
        <sz val="12"/>
        <color theme="1"/>
        <rFont val="新細明體"/>
        <family val="2"/>
      </rPr>
      <t>肄業</t>
    </r>
    <r>
      <rPr>
        <sz val="12"/>
        <rFont val="Times New Roman"/>
        <family val="1"/>
      </rPr>
      <t/>
    </r>
    <phoneticPr fontId="3" type="noConversion"/>
  </si>
  <si>
    <r>
      <rPr>
        <sz val="12"/>
        <color theme="1"/>
        <rFont val="新細明體"/>
        <family val="2"/>
      </rPr>
      <t>國中肄業</t>
    </r>
    <r>
      <rPr>
        <sz val="12"/>
        <rFont val="Times New Roman"/>
        <family val="1"/>
      </rPr>
      <t/>
    </r>
    <phoneticPr fontId="3" type="noConversion"/>
  </si>
  <si>
    <r>
      <rPr>
        <sz val="12"/>
        <color theme="1"/>
        <rFont val="新細明體"/>
        <family val="2"/>
      </rPr>
      <t>國中畢業</t>
    </r>
    <phoneticPr fontId="3" type="noConversion"/>
  </si>
  <si>
    <r>
      <rPr>
        <sz val="12"/>
        <color theme="1"/>
        <rFont val="新細明體"/>
        <family val="2"/>
      </rPr>
      <t>大學</t>
    </r>
    <r>
      <rPr>
        <sz val="12"/>
        <rFont val="Times New Roman"/>
        <family val="1"/>
      </rPr>
      <t>(</t>
    </r>
    <r>
      <rPr>
        <sz val="12"/>
        <color theme="1"/>
        <rFont val="新細明體"/>
        <family val="2"/>
      </rPr>
      <t>專</t>
    </r>
    <r>
      <rPr>
        <sz val="12"/>
        <rFont val="Times New Roman"/>
        <family val="1"/>
      </rPr>
      <t>)</t>
    </r>
    <r>
      <rPr>
        <sz val="12"/>
        <color theme="1"/>
        <rFont val="新細明體"/>
        <family val="2"/>
      </rPr>
      <t>肄業</t>
    </r>
    <r>
      <rPr>
        <sz val="12"/>
        <rFont val="Times New Roman"/>
        <family val="1"/>
      </rPr>
      <t/>
    </r>
    <phoneticPr fontId="3" type="noConversion"/>
  </si>
  <si>
    <r>
      <rPr>
        <sz val="12"/>
        <color theme="1"/>
        <rFont val="新細明體"/>
        <family val="2"/>
      </rPr>
      <t>國小畢業</t>
    </r>
    <phoneticPr fontId="3" type="noConversion"/>
  </si>
  <si>
    <r>
      <rPr>
        <sz val="12"/>
        <color theme="1"/>
        <rFont val="新細明體"/>
        <family val="2"/>
      </rPr>
      <t>高中</t>
    </r>
    <r>
      <rPr>
        <sz val="12"/>
        <rFont val="Times New Roman"/>
        <family val="1"/>
      </rPr>
      <t>(</t>
    </r>
    <r>
      <rPr>
        <sz val="12"/>
        <color theme="1"/>
        <rFont val="新細明體"/>
        <family val="2"/>
      </rPr>
      <t>職</t>
    </r>
    <r>
      <rPr>
        <sz val="12"/>
        <rFont val="Times New Roman"/>
        <family val="1"/>
      </rPr>
      <t>)</t>
    </r>
    <r>
      <rPr>
        <sz val="12"/>
        <color theme="1"/>
        <rFont val="新細明體"/>
        <family val="2"/>
      </rPr>
      <t>畢業</t>
    </r>
    <phoneticPr fontId="3" type="noConversion"/>
  </si>
  <si>
    <r>
      <rPr>
        <sz val="12"/>
        <color theme="1"/>
        <rFont val="新細明體"/>
        <family val="2"/>
      </rPr>
      <t>國小肄業</t>
    </r>
    <phoneticPr fontId="3" type="noConversion"/>
  </si>
  <si>
    <r>
      <rPr>
        <sz val="12"/>
        <color theme="1"/>
        <rFont val="新細明體"/>
        <family val="2"/>
      </rPr>
      <t>自修</t>
    </r>
    <phoneticPr fontId="3"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</si>
  <si>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 xml:space="preserve">10914-03-05-05) </t>
    </r>
    <r>
      <rPr>
        <sz val="10"/>
        <rFont val="新細明體"/>
        <family val="1"/>
        <charset val="136"/>
      </rPr>
      <t>。</t>
    </r>
    <phoneticPr fontId="3" type="noConversion"/>
  </si>
  <si>
    <r>
      <rPr>
        <sz val="10"/>
        <rFont val="新細明體"/>
        <family val="1"/>
        <charset val="136"/>
      </rPr>
      <t>說　　明：</t>
    </r>
    <r>
      <rPr>
        <sz val="10"/>
        <rFont val="Times New Roman"/>
        <family val="1"/>
      </rPr>
      <t xml:space="preserve">1. </t>
    </r>
    <r>
      <rPr>
        <sz val="10"/>
        <rFont val="新細明體"/>
        <family val="1"/>
        <charset val="136"/>
      </rPr>
      <t>肄業含在校及離校。
　　　　　</t>
    </r>
    <r>
      <rPr>
        <sz val="10"/>
        <rFont val="Times New Roman"/>
        <family val="1"/>
      </rPr>
      <t xml:space="preserve">2. </t>
    </r>
    <r>
      <rPr>
        <sz val="10"/>
        <rFont val="新細明體"/>
        <family val="1"/>
        <charset val="136"/>
      </rPr>
      <t>本表虞犯</t>
    </r>
    <r>
      <rPr>
        <sz val="10"/>
        <rFont val="Times New Roman"/>
        <family val="1"/>
      </rPr>
      <t>/</t>
    </r>
    <r>
      <rPr>
        <sz val="10"/>
        <rFont val="新細明體"/>
        <family val="1"/>
        <charset val="136"/>
      </rPr>
      <t>曝險少年，係指當年度經法院裁定交付保護處分且經個案調查者。
　　　　　</t>
    </r>
    <r>
      <rPr>
        <sz val="10"/>
        <rFont val="Times New Roman"/>
        <family val="1"/>
      </rPr>
      <t>3.</t>
    </r>
    <r>
      <rPr>
        <sz val="10"/>
        <rFont val="新細明體"/>
        <family val="1"/>
        <charset val="136"/>
      </rPr>
      <t>基於少年事件處理法自</t>
    </r>
    <r>
      <rPr>
        <sz val="10"/>
        <rFont val="Times New Roman"/>
        <family val="1"/>
      </rPr>
      <t>108</t>
    </r>
    <r>
      <rPr>
        <sz val="10"/>
        <rFont val="新細明體"/>
        <family val="1"/>
        <charset val="136"/>
      </rPr>
      <t>年修正虞犯少年為曝險少年，本表於</t>
    </r>
    <r>
      <rPr>
        <sz val="10"/>
        <rFont val="Times New Roman"/>
        <family val="1"/>
      </rPr>
      <t>108</t>
    </r>
    <r>
      <rPr>
        <sz val="10"/>
        <rFont val="新細明體"/>
        <family val="1"/>
        <charset val="136"/>
      </rPr>
      <t>年</t>
    </r>
    <r>
      <rPr>
        <sz val="10"/>
        <rFont val="Times New Roman"/>
        <family val="1"/>
      </rPr>
      <t>6</t>
    </r>
    <r>
      <rPr>
        <sz val="10"/>
        <rFont val="新細明體"/>
        <family val="1"/>
        <charset val="136"/>
      </rPr>
      <t>月前為虞犯少年數據，其後為曝險少年數據。</t>
    </r>
    <phoneticPr fontId="37" type="noConversion"/>
  </si>
  <si>
    <r>
      <rPr>
        <sz val="12"/>
        <color theme="1"/>
        <rFont val="新細明體"/>
        <family val="2"/>
      </rPr>
      <t>人數</t>
    </r>
    <phoneticPr fontId="3" type="noConversion"/>
  </si>
  <si>
    <r>
      <rPr>
        <sz val="12"/>
        <color theme="1"/>
        <rFont val="新細明體"/>
        <family val="2"/>
      </rPr>
      <t>百分比</t>
    </r>
    <phoneticPr fontId="3" type="noConversion"/>
  </si>
  <si>
    <r>
      <rPr>
        <sz val="12"/>
        <color theme="1"/>
        <rFont val="新細明體"/>
        <family val="2"/>
      </rPr>
      <t>在校生</t>
    </r>
    <phoneticPr fontId="3" type="noConversion"/>
  </si>
  <si>
    <r>
      <rPr>
        <sz val="12"/>
        <color theme="1"/>
        <rFont val="新細明體"/>
        <family val="2"/>
      </rPr>
      <t>輟學未就業</t>
    </r>
    <phoneticPr fontId="3" type="noConversion"/>
  </si>
  <si>
    <r>
      <rPr>
        <sz val="12"/>
        <color theme="1"/>
        <rFont val="新細明體"/>
        <family val="2"/>
      </rPr>
      <t>就業</t>
    </r>
    <phoneticPr fontId="3" type="noConversion"/>
  </si>
  <si>
    <r>
      <rPr>
        <sz val="12"/>
        <color theme="1"/>
        <rFont val="新細明體"/>
        <family val="2"/>
      </rPr>
      <t>無業</t>
    </r>
    <phoneticPr fontId="3" type="noConversion"/>
  </si>
  <si>
    <r>
      <rPr>
        <sz val="12"/>
        <color theme="1"/>
        <rFont val="新細明體"/>
        <family val="2"/>
      </rPr>
      <t>半工半讀</t>
    </r>
    <phoneticPr fontId="3"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</si>
  <si>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 xml:space="preserve">10914-03-06-05) </t>
    </r>
    <r>
      <rPr>
        <sz val="10"/>
        <rFont val="新細明體"/>
        <family val="1"/>
        <charset val="136"/>
      </rPr>
      <t>。
說　　明：</t>
    </r>
    <r>
      <rPr>
        <sz val="10"/>
        <rFont val="Times New Roman"/>
        <family val="1"/>
      </rPr>
      <t>1.</t>
    </r>
    <r>
      <rPr>
        <sz val="10"/>
        <rFont val="新細明體"/>
        <family val="1"/>
        <charset val="136"/>
      </rPr>
      <t>本表虞犯</t>
    </r>
    <r>
      <rPr>
        <sz val="10"/>
        <rFont val="Times New Roman"/>
        <family val="1"/>
      </rPr>
      <t>/</t>
    </r>
    <r>
      <rPr>
        <sz val="10"/>
        <rFont val="新細明體"/>
        <family val="1"/>
        <charset val="136"/>
      </rPr>
      <t>曝險少年，係指當年度經法院裁定交付保護處分且經個案調查者。
　　　　　</t>
    </r>
    <r>
      <rPr>
        <sz val="10"/>
        <rFont val="Times New Roman"/>
        <family val="1"/>
      </rPr>
      <t>2.</t>
    </r>
    <r>
      <rPr>
        <sz val="10"/>
        <rFont val="新細明體"/>
        <family val="1"/>
        <charset val="136"/>
      </rPr>
      <t>基於少年事件處理法自</t>
    </r>
    <r>
      <rPr>
        <sz val="10"/>
        <rFont val="Times New Roman"/>
        <family val="1"/>
      </rPr>
      <t>108</t>
    </r>
    <r>
      <rPr>
        <sz val="10"/>
        <rFont val="新細明體"/>
        <family val="1"/>
        <charset val="136"/>
      </rPr>
      <t>年修正虞犯少年為曝險少年，本表於</t>
    </r>
    <r>
      <rPr>
        <sz val="10"/>
        <rFont val="Times New Roman"/>
        <family val="1"/>
      </rPr>
      <t>108</t>
    </r>
    <r>
      <rPr>
        <sz val="10"/>
        <rFont val="新細明體"/>
        <family val="1"/>
        <charset val="136"/>
      </rPr>
      <t>年</t>
    </r>
    <r>
      <rPr>
        <sz val="10"/>
        <rFont val="Times New Roman"/>
        <family val="1"/>
      </rPr>
      <t>6</t>
    </r>
    <r>
      <rPr>
        <sz val="10"/>
        <rFont val="新細明體"/>
        <family val="1"/>
        <charset val="136"/>
      </rPr>
      <t>月前為虞犯少年數據，其後為曝險少年數據。</t>
    </r>
    <phoneticPr fontId="3" type="noConversion"/>
  </si>
  <si>
    <r>
      <rPr>
        <sz val="15"/>
        <color theme="1"/>
        <rFont val="新細明體"/>
        <family val="1"/>
        <charset val="136"/>
      </rPr>
      <t>表</t>
    </r>
    <r>
      <rPr>
        <sz val="15"/>
        <color theme="1"/>
        <rFont val="Times New Roman"/>
        <family val="1"/>
      </rPr>
      <t>3-2-25</t>
    </r>
    <r>
      <rPr>
        <sz val="15"/>
        <color theme="1"/>
        <rFont val="新細明體"/>
        <family val="1"/>
        <charset val="136"/>
      </rPr>
      <t>　近</t>
    </r>
    <r>
      <rPr>
        <sz val="15"/>
        <color theme="1"/>
        <rFont val="Times New Roman"/>
        <family val="1"/>
      </rPr>
      <t>10</t>
    </r>
    <r>
      <rPr>
        <sz val="15"/>
        <color theme="1"/>
        <rFont val="新細明體"/>
        <family val="1"/>
        <charset val="136"/>
      </rPr>
      <t>年曝險少年交付保護處分之家庭經濟狀況</t>
    </r>
    <phoneticPr fontId="3" type="noConversion"/>
  </si>
  <si>
    <r>
      <rPr>
        <sz val="10"/>
        <rFont val="新細明體"/>
        <family val="1"/>
        <charset val="136"/>
      </rPr>
      <t>說　　明：</t>
    </r>
    <r>
      <rPr>
        <sz val="10"/>
        <rFont val="Times New Roman"/>
        <family val="1"/>
      </rPr>
      <t xml:space="preserve">1. </t>
    </r>
    <r>
      <rPr>
        <sz val="10"/>
        <rFont val="新細明體"/>
        <family val="1"/>
        <charset val="136"/>
      </rPr>
      <t>本表原始檔案總計人數和前表不同，敬請留意。
　　　　　</t>
    </r>
    <r>
      <rPr>
        <sz val="10"/>
        <rFont val="Times New Roman"/>
        <family val="1"/>
      </rPr>
      <t xml:space="preserve">2. </t>
    </r>
    <r>
      <rPr>
        <sz val="10"/>
        <rFont val="新細明體"/>
        <family val="1"/>
        <charset val="136"/>
      </rPr>
      <t>本表虞犯</t>
    </r>
    <r>
      <rPr>
        <sz val="10"/>
        <rFont val="Times New Roman"/>
        <family val="1"/>
      </rPr>
      <t>/</t>
    </r>
    <r>
      <rPr>
        <sz val="10"/>
        <rFont val="新細明體"/>
        <family val="1"/>
        <charset val="136"/>
      </rPr>
      <t>曝險少年，係指當年度經法院裁定交付保護處分且經個案調查者。
　　　　　</t>
    </r>
    <r>
      <rPr>
        <sz val="10"/>
        <rFont val="Times New Roman"/>
        <family val="1"/>
      </rPr>
      <t>3.</t>
    </r>
    <r>
      <rPr>
        <sz val="10"/>
        <rFont val="新細明體"/>
        <family val="1"/>
        <charset val="136"/>
      </rPr>
      <t>基於少年事件處理法自</t>
    </r>
    <r>
      <rPr>
        <sz val="10"/>
        <rFont val="Times New Roman"/>
        <family val="1"/>
      </rPr>
      <t>108</t>
    </r>
    <r>
      <rPr>
        <sz val="10"/>
        <rFont val="新細明體"/>
        <family val="1"/>
        <charset val="136"/>
      </rPr>
      <t>年修正虞犯少年為曝險少年，本表於</t>
    </r>
    <r>
      <rPr>
        <sz val="10"/>
        <rFont val="Times New Roman"/>
        <family val="1"/>
      </rPr>
      <t>108</t>
    </r>
    <r>
      <rPr>
        <sz val="10"/>
        <rFont val="新細明體"/>
        <family val="1"/>
        <charset val="136"/>
      </rPr>
      <t>年</t>
    </r>
    <r>
      <rPr>
        <sz val="10"/>
        <rFont val="Times New Roman"/>
        <family val="1"/>
      </rPr>
      <t>6</t>
    </r>
    <r>
      <rPr>
        <sz val="10"/>
        <rFont val="新細明體"/>
        <family val="1"/>
        <charset val="136"/>
      </rPr>
      <t>月前為虞犯少年數據，其後為曝險少年數據。</t>
    </r>
    <phoneticPr fontId="37" type="noConversion"/>
  </si>
  <si>
    <r>
      <rPr>
        <sz val="12"/>
        <color theme="1"/>
        <rFont val="新細明體"/>
        <family val="2"/>
        <charset val="136"/>
        <scheme val="minor"/>
      </rPr>
      <t>人數</t>
    </r>
    <phoneticPr fontId="3" type="noConversion"/>
  </si>
  <si>
    <r>
      <rPr>
        <sz val="12"/>
        <color theme="1"/>
        <rFont val="新細明體"/>
        <family val="2"/>
        <charset val="136"/>
        <scheme val="minor"/>
      </rPr>
      <t>百分比</t>
    </r>
    <phoneticPr fontId="3" type="noConversion"/>
  </si>
  <si>
    <r>
      <rPr>
        <sz val="12"/>
        <color theme="1"/>
        <rFont val="新細明體"/>
        <family val="2"/>
        <charset val="136"/>
        <scheme val="minor"/>
      </rPr>
      <t>在校生</t>
    </r>
    <phoneticPr fontId="3" type="noConversion"/>
  </si>
  <si>
    <r>
      <rPr>
        <sz val="12"/>
        <color theme="1"/>
        <rFont val="新細明體"/>
        <family val="2"/>
        <charset val="136"/>
        <scheme val="minor"/>
      </rPr>
      <t>就業</t>
    </r>
    <phoneticPr fontId="3" type="noConversion"/>
  </si>
  <si>
    <r>
      <rPr>
        <sz val="12"/>
        <color theme="1"/>
        <rFont val="新細明體"/>
        <family val="2"/>
        <charset val="136"/>
        <scheme val="minor"/>
      </rPr>
      <t>輟學未就業</t>
    </r>
    <phoneticPr fontId="3" type="noConversion"/>
  </si>
  <si>
    <r>
      <rPr>
        <sz val="12"/>
        <color theme="1"/>
        <rFont val="新細明體"/>
        <family val="2"/>
        <charset val="136"/>
        <scheme val="minor"/>
      </rPr>
      <t>半工半讀</t>
    </r>
    <phoneticPr fontId="3" type="noConversion"/>
  </si>
  <si>
    <r>
      <rPr>
        <sz val="12"/>
        <color theme="1"/>
        <rFont val="新細明體"/>
        <family val="2"/>
        <charset val="136"/>
        <scheme val="minor"/>
      </rPr>
      <t>無業</t>
    </r>
    <phoneticPr fontId="3" type="noConversion"/>
  </si>
  <si>
    <r>
      <t>109</t>
    </r>
    <r>
      <rPr>
        <sz val="12"/>
        <rFont val="PMingLiU"/>
        <family val="1"/>
        <charset val="136"/>
      </rPr>
      <t>年</t>
    </r>
    <phoneticPr fontId="2"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</si>
  <si>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 xml:space="preserve">10914-03-06-05) </t>
    </r>
    <r>
      <rPr>
        <sz val="10"/>
        <rFont val="新細明體"/>
        <family val="1"/>
        <charset val="136"/>
      </rPr>
      <t>。</t>
    </r>
    <phoneticPr fontId="3" type="noConversion"/>
  </si>
  <si>
    <r>
      <rPr>
        <sz val="12"/>
        <color theme="1"/>
        <rFont val="新細明體"/>
        <family val="2"/>
      </rPr>
      <t>高中(職)肄業</t>
    </r>
    <r>
      <rPr>
        <sz val="12"/>
        <rFont val="Times New Roman"/>
        <family val="1"/>
      </rPr>
      <t/>
    </r>
    <phoneticPr fontId="3" type="noConversion"/>
  </si>
  <si>
    <r>
      <rPr>
        <sz val="12"/>
        <color theme="1"/>
        <rFont val="新細明體"/>
        <family val="2"/>
      </rPr>
      <t>國小肄業</t>
    </r>
    <r>
      <rPr>
        <sz val="12"/>
        <rFont val="Times New Roman"/>
        <family val="1"/>
      </rPr>
      <t/>
    </r>
    <phoneticPr fontId="3" type="noConversion"/>
  </si>
  <si>
    <t>高中(職)畢業</t>
    <phoneticPr fontId="3" type="noConversion"/>
  </si>
  <si>
    <r>
      <rPr>
        <sz val="12"/>
        <color theme="1"/>
        <rFont val="新細明體"/>
        <family val="2"/>
      </rPr>
      <t>不識字</t>
    </r>
    <r>
      <rPr>
        <sz val="12"/>
        <rFont val="Times New Roman"/>
        <family val="1"/>
      </rPr>
      <t xml:space="preserve"> </t>
    </r>
    <phoneticPr fontId="3" type="noConversion"/>
  </si>
  <si>
    <t>人</t>
    <phoneticPr fontId="20" type="noConversion"/>
  </si>
  <si>
    <r>
      <rPr>
        <sz val="12"/>
        <color theme="1"/>
        <rFont val="新細明體"/>
        <family val="1"/>
        <charset val="136"/>
      </rPr>
      <t>人</t>
    </r>
    <phoneticPr fontId="3" type="noConversion"/>
  </si>
  <si>
    <t>傷害罪</t>
  </si>
  <si>
    <t>詐欺罪</t>
  </si>
  <si>
    <t>竊盜罪</t>
  </si>
  <si>
    <t>妨害秩序罪</t>
  </si>
  <si>
    <t>妨害性自主罪</t>
  </si>
  <si>
    <t>公共危險罪</t>
  </si>
  <si>
    <t>妨害自由罪</t>
  </si>
  <si>
    <t>兒少性剝削防制條例</t>
  </si>
  <si>
    <t>毀棄損壞罪</t>
  </si>
  <si>
    <t>毒品危害防制條例</t>
  </si>
  <si>
    <t>恐嚇罪</t>
  </si>
  <si>
    <t>妨害名譽及信用罪</t>
  </si>
  <si>
    <t>賭博罪</t>
  </si>
  <si>
    <t>偽造文書印文罪</t>
  </si>
  <si>
    <t>殺人罪</t>
  </si>
  <si>
    <t>侵占罪</t>
  </si>
  <si>
    <t>洗錢防制法</t>
  </si>
  <si>
    <t>贓物罪</t>
  </si>
  <si>
    <t>妨害秘密罪</t>
  </si>
  <si>
    <t>藥事法</t>
  </si>
  <si>
    <t>妨害公務罪</t>
  </si>
  <si>
    <t>組織犯罪防制條例</t>
  </si>
  <si>
    <t>妨害電腦使用罪</t>
  </si>
  <si>
    <t>槍砲彈藥刀械管制條例</t>
  </si>
  <si>
    <t>妨害婚姻及家庭罪</t>
  </si>
  <si>
    <t>妨害風化罪</t>
  </si>
  <si>
    <t>性騷擾防治法</t>
  </si>
  <si>
    <t>藏匿人犯及湮滅證據罪</t>
  </si>
  <si>
    <t>家庭暴力防治法</t>
  </si>
  <si>
    <t>搶奪及海盜罪</t>
  </si>
  <si>
    <t>重利罪</t>
  </si>
  <si>
    <t>誣告罪</t>
  </si>
  <si>
    <t>偽證罪</t>
  </si>
  <si>
    <t>商標法</t>
  </si>
  <si>
    <t>廢棄物清理法</t>
  </si>
  <si>
    <t>偽造貨幣罪</t>
  </si>
  <si>
    <t>民用航空法</t>
    <phoneticPr fontId="2" type="noConversion"/>
  </si>
  <si>
    <t>選舉罷免法</t>
    <phoneticPr fontId="2" type="noConversion"/>
  </si>
  <si>
    <t>銀行法</t>
    <phoneticPr fontId="2" type="noConversion"/>
  </si>
  <si>
    <t>動物傳染病防治條例</t>
    <phoneticPr fontId="2" type="noConversion"/>
  </si>
  <si>
    <r>
      <rPr>
        <sz val="15"/>
        <color theme="1"/>
        <rFont val="新細明體"/>
        <family val="1"/>
        <charset val="136"/>
      </rPr>
      <t>表</t>
    </r>
    <r>
      <rPr>
        <sz val="15"/>
        <color theme="1"/>
        <rFont val="Times New Roman"/>
        <family val="1"/>
      </rPr>
      <t>3-2-6</t>
    </r>
    <r>
      <rPr>
        <sz val="15"/>
        <color theme="1"/>
        <rFont val="新細明體"/>
        <family val="1"/>
        <charset val="136"/>
      </rPr>
      <t>　近</t>
    </r>
    <r>
      <rPr>
        <sz val="15"/>
        <color theme="1"/>
        <rFont val="Times New Roman"/>
        <family val="1"/>
      </rPr>
      <t>10</t>
    </r>
    <r>
      <rPr>
        <sz val="15"/>
        <color theme="1"/>
        <rFont val="新細明體"/>
        <family val="1"/>
        <charset val="136"/>
      </rPr>
      <t>年觸法少年交付保護處分之性別與年齡</t>
    </r>
    <phoneticPr fontId="3" type="noConversion"/>
  </si>
  <si>
    <r>
      <t>106</t>
    </r>
    <r>
      <rPr>
        <sz val="12"/>
        <color theme="1"/>
        <rFont val="新細明體"/>
        <family val="2"/>
        <charset val="136"/>
        <scheme val="minor"/>
      </rPr>
      <t>年</t>
    </r>
    <phoneticPr fontId="3" type="noConversion"/>
  </si>
  <si>
    <r>
      <rPr>
        <sz val="12"/>
        <color theme="1"/>
        <rFont val="新細明體"/>
        <family val="2"/>
        <charset val="136"/>
        <scheme val="minor"/>
      </rPr>
      <t>男</t>
    </r>
    <phoneticPr fontId="3" type="noConversion"/>
  </si>
  <si>
    <r>
      <rPr>
        <sz val="12"/>
        <color theme="1"/>
        <rFont val="新細明體"/>
        <family val="2"/>
        <charset val="136"/>
        <scheme val="minor"/>
      </rPr>
      <t>女</t>
    </r>
    <phoneticPr fontId="3" type="noConversion"/>
  </si>
  <si>
    <r>
      <t>14</t>
    </r>
    <r>
      <rPr>
        <sz val="12"/>
        <color theme="1"/>
        <rFont val="新細明體"/>
        <family val="2"/>
        <charset val="136"/>
        <scheme val="minor"/>
      </rPr>
      <t>歲以上</t>
    </r>
    <r>
      <rPr>
        <sz val="12"/>
        <rFont val="Times New Roman"/>
        <family val="1"/>
      </rPr>
      <t>15</t>
    </r>
    <r>
      <rPr>
        <sz val="12"/>
        <color theme="1"/>
        <rFont val="新細明體"/>
        <family val="2"/>
        <charset val="136"/>
        <scheme val="minor"/>
      </rPr>
      <t>歲未滿</t>
    </r>
    <phoneticPr fontId="3" type="noConversion"/>
  </si>
  <si>
    <r>
      <t>15</t>
    </r>
    <r>
      <rPr>
        <sz val="12"/>
        <color theme="1"/>
        <rFont val="新細明體"/>
        <family val="2"/>
        <charset val="136"/>
        <scheme val="minor"/>
      </rPr>
      <t>歲以上</t>
    </r>
    <r>
      <rPr>
        <sz val="12"/>
        <rFont val="Times New Roman"/>
        <family val="1"/>
      </rPr>
      <t>16</t>
    </r>
    <r>
      <rPr>
        <sz val="12"/>
        <color theme="1"/>
        <rFont val="新細明體"/>
        <family val="2"/>
        <charset val="136"/>
        <scheme val="minor"/>
      </rPr>
      <t>歲未滿</t>
    </r>
    <phoneticPr fontId="3" type="noConversion"/>
  </si>
  <si>
    <r>
      <t>16</t>
    </r>
    <r>
      <rPr>
        <sz val="12"/>
        <color theme="1"/>
        <rFont val="新細明體"/>
        <family val="2"/>
        <charset val="136"/>
        <scheme val="minor"/>
      </rPr>
      <t>歲以上</t>
    </r>
    <r>
      <rPr>
        <sz val="12"/>
        <rFont val="Times New Roman"/>
        <family val="1"/>
      </rPr>
      <t>17</t>
    </r>
    <r>
      <rPr>
        <sz val="12"/>
        <color theme="1"/>
        <rFont val="新細明體"/>
        <family val="2"/>
        <charset val="136"/>
        <scheme val="minor"/>
      </rPr>
      <t>歲未滿</t>
    </r>
    <phoneticPr fontId="3" type="noConversion"/>
  </si>
  <si>
    <r>
      <t>17</t>
    </r>
    <r>
      <rPr>
        <sz val="12"/>
        <color theme="1"/>
        <rFont val="新細明體"/>
        <family val="2"/>
        <charset val="136"/>
        <scheme val="minor"/>
      </rPr>
      <t>歲以上</t>
    </r>
    <r>
      <rPr>
        <sz val="12"/>
        <rFont val="Times New Roman"/>
        <family val="1"/>
      </rPr>
      <t>18</t>
    </r>
    <r>
      <rPr>
        <sz val="12"/>
        <color theme="1"/>
        <rFont val="新細明體"/>
        <family val="2"/>
        <charset val="136"/>
        <scheme val="minor"/>
      </rPr>
      <t>歲未滿</t>
    </r>
    <phoneticPr fontId="3" type="noConversion"/>
  </si>
  <si>
    <t>人</t>
    <phoneticPr fontId="2" type="noConversion"/>
  </si>
  <si>
    <t>-</t>
    <phoneticPr fontId="2" type="noConversion"/>
  </si>
  <si>
    <r>
      <rPr>
        <sz val="15"/>
        <color theme="1"/>
        <rFont val="新細明體"/>
        <family val="1"/>
        <charset val="136"/>
      </rPr>
      <t>表</t>
    </r>
    <r>
      <rPr>
        <sz val="15"/>
        <color theme="1"/>
        <rFont val="Times New Roman"/>
        <family val="1"/>
      </rPr>
      <t>3-2-5</t>
    </r>
    <r>
      <rPr>
        <sz val="15"/>
        <color theme="1"/>
        <rFont val="新細明體"/>
        <family val="1"/>
        <charset val="136"/>
      </rPr>
      <t>　近</t>
    </r>
    <r>
      <rPr>
        <sz val="15"/>
        <color theme="1"/>
        <rFont val="Times New Roman"/>
        <family val="1"/>
      </rPr>
      <t>10</t>
    </r>
    <r>
      <rPr>
        <sz val="15"/>
        <color theme="1"/>
        <rFont val="新細明體"/>
        <family val="1"/>
        <charset val="136"/>
      </rPr>
      <t>年觸法少年交付保護處分之罪名</t>
    </r>
    <phoneticPr fontId="3" type="noConversion"/>
  </si>
  <si>
    <r>
      <rPr>
        <sz val="12"/>
        <color theme="1"/>
        <rFont val="新細明體"/>
        <family val="2"/>
        <charset val="136"/>
        <scheme val="minor"/>
      </rPr>
      <t>傷害罪</t>
    </r>
    <phoneticPr fontId="3" type="noConversion"/>
  </si>
  <si>
    <r>
      <rPr>
        <sz val="12"/>
        <color theme="1"/>
        <rFont val="新細明體"/>
        <family val="2"/>
        <charset val="136"/>
        <scheme val="minor"/>
      </rPr>
      <t>詐欺罪</t>
    </r>
    <phoneticPr fontId="3" type="noConversion"/>
  </si>
  <si>
    <r>
      <rPr>
        <sz val="12"/>
        <color theme="1"/>
        <rFont val="新細明體"/>
        <family val="2"/>
        <charset val="136"/>
        <scheme val="minor"/>
      </rPr>
      <t>竊盜罪</t>
    </r>
    <phoneticPr fontId="3" type="noConversion"/>
  </si>
  <si>
    <r>
      <rPr>
        <sz val="12"/>
        <color theme="1"/>
        <rFont val="新細明體"/>
        <family val="2"/>
        <charset val="136"/>
        <scheme val="minor"/>
      </rPr>
      <t>妨害秩序罪</t>
    </r>
    <phoneticPr fontId="3" type="noConversion"/>
  </si>
  <si>
    <r>
      <rPr>
        <sz val="12"/>
        <color theme="1"/>
        <rFont val="新細明體"/>
        <family val="2"/>
        <charset val="136"/>
        <scheme val="minor"/>
      </rPr>
      <t>妨害性自主罪</t>
    </r>
    <phoneticPr fontId="3" type="noConversion"/>
  </si>
  <si>
    <r>
      <rPr>
        <sz val="12"/>
        <color theme="1"/>
        <rFont val="新細明體"/>
        <family val="2"/>
        <charset val="136"/>
        <scheme val="minor"/>
      </rPr>
      <t>公共危險罪</t>
    </r>
    <phoneticPr fontId="3" type="noConversion"/>
  </si>
  <si>
    <r>
      <rPr>
        <sz val="12"/>
        <color theme="1"/>
        <rFont val="新細明體"/>
        <family val="2"/>
        <charset val="136"/>
        <scheme val="minor"/>
      </rPr>
      <t>妨害自由罪</t>
    </r>
    <phoneticPr fontId="3" type="noConversion"/>
  </si>
  <si>
    <t>兒少性剝削防制條例</t>
    <phoneticPr fontId="3" type="noConversion"/>
  </si>
  <si>
    <r>
      <rPr>
        <sz val="12"/>
        <color theme="1"/>
        <rFont val="新細明體"/>
        <family val="2"/>
        <charset val="136"/>
        <scheme val="minor"/>
      </rPr>
      <t>毀棄損壞罪</t>
    </r>
    <phoneticPr fontId="3" type="noConversion"/>
  </si>
  <si>
    <r>
      <rPr>
        <sz val="12"/>
        <color theme="1"/>
        <rFont val="新細明體"/>
        <family val="2"/>
        <charset val="136"/>
        <scheme val="minor"/>
      </rPr>
      <t>毒品危害防制條例</t>
    </r>
    <phoneticPr fontId="3" type="noConversion"/>
  </si>
  <si>
    <r>
      <rPr>
        <sz val="12"/>
        <color theme="1"/>
        <rFont val="新細明體"/>
        <family val="2"/>
        <charset val="136"/>
        <scheme val="minor"/>
      </rPr>
      <t>恐嚇罪</t>
    </r>
    <phoneticPr fontId="3" type="noConversion"/>
  </si>
  <si>
    <r>
      <rPr>
        <sz val="12"/>
        <color theme="1"/>
        <rFont val="新細明體"/>
        <family val="2"/>
        <charset val="136"/>
        <scheme val="minor"/>
      </rPr>
      <t>妨害名譽及信用罪</t>
    </r>
    <phoneticPr fontId="3" type="noConversion"/>
  </si>
  <si>
    <r>
      <rPr>
        <sz val="12"/>
        <color theme="1"/>
        <rFont val="新細明體"/>
        <family val="2"/>
        <charset val="136"/>
        <scheme val="minor"/>
      </rPr>
      <t>賭博罪</t>
    </r>
    <phoneticPr fontId="3" type="noConversion"/>
  </si>
  <si>
    <r>
      <rPr>
        <sz val="12"/>
        <color theme="1"/>
        <rFont val="新細明體"/>
        <family val="2"/>
        <charset val="136"/>
        <scheme val="minor"/>
      </rPr>
      <t>偽造文書印文罪</t>
    </r>
    <phoneticPr fontId="3" type="noConversion"/>
  </si>
  <si>
    <r>
      <rPr>
        <sz val="12"/>
        <color theme="1"/>
        <rFont val="新細明體"/>
        <family val="2"/>
        <charset val="136"/>
        <scheme val="minor"/>
      </rPr>
      <t>殺人罪</t>
    </r>
    <phoneticPr fontId="3" type="noConversion"/>
  </si>
  <si>
    <r>
      <rPr>
        <sz val="12"/>
        <color theme="1"/>
        <rFont val="新細明體"/>
        <family val="2"/>
        <charset val="136"/>
        <scheme val="minor"/>
      </rPr>
      <t>侵占罪</t>
    </r>
    <phoneticPr fontId="3" type="noConversion"/>
  </si>
  <si>
    <r>
      <rPr>
        <sz val="12"/>
        <color theme="1"/>
        <rFont val="新細明體"/>
        <family val="2"/>
        <charset val="136"/>
        <scheme val="minor"/>
      </rPr>
      <t>贓物罪</t>
    </r>
    <phoneticPr fontId="3" type="noConversion"/>
  </si>
  <si>
    <r>
      <rPr>
        <sz val="12"/>
        <color theme="1"/>
        <rFont val="新細明體"/>
        <family val="2"/>
        <charset val="136"/>
        <scheme val="minor"/>
      </rPr>
      <t>妨害秘密罪</t>
    </r>
    <phoneticPr fontId="3" type="noConversion"/>
  </si>
  <si>
    <r>
      <rPr>
        <sz val="12"/>
        <color theme="1"/>
        <rFont val="新細明體"/>
        <family val="2"/>
        <charset val="136"/>
        <scheme val="minor"/>
      </rPr>
      <t>藥事法</t>
    </r>
    <phoneticPr fontId="3" type="noConversion"/>
  </si>
  <si>
    <r>
      <rPr>
        <sz val="12"/>
        <color theme="1"/>
        <rFont val="新細明體"/>
        <family val="2"/>
        <charset val="136"/>
        <scheme val="minor"/>
      </rPr>
      <t>妨害公務罪</t>
    </r>
    <phoneticPr fontId="3" type="noConversion"/>
  </si>
  <si>
    <r>
      <rPr>
        <sz val="12"/>
        <color theme="1"/>
        <rFont val="新細明體"/>
        <family val="2"/>
        <charset val="136"/>
        <scheme val="minor"/>
      </rPr>
      <t>妨害電腦使用罪</t>
    </r>
    <phoneticPr fontId="3" type="noConversion"/>
  </si>
  <si>
    <r>
      <rPr>
        <sz val="12"/>
        <color theme="1"/>
        <rFont val="新細明體"/>
        <family val="2"/>
        <charset val="136"/>
        <scheme val="minor"/>
      </rPr>
      <t>槍砲彈藥刀械管制條例</t>
    </r>
    <phoneticPr fontId="3" type="noConversion"/>
  </si>
  <si>
    <r>
      <rPr>
        <sz val="12"/>
        <color theme="1"/>
        <rFont val="新細明體"/>
        <family val="2"/>
        <charset val="136"/>
        <scheme val="minor"/>
      </rPr>
      <t>妨害婚姻及家庭罪</t>
    </r>
    <phoneticPr fontId="3" type="noConversion"/>
  </si>
  <si>
    <t>妨害風化罪</t>
    <phoneticPr fontId="3" type="noConversion"/>
  </si>
  <si>
    <t>藏匿人犯及湮滅證據罪</t>
    <phoneticPr fontId="3" type="noConversion"/>
  </si>
  <si>
    <r>
      <rPr>
        <sz val="12"/>
        <color theme="1"/>
        <rFont val="新細明體"/>
        <family val="2"/>
        <charset val="136"/>
        <scheme val="minor"/>
      </rPr>
      <t>搶奪及海盜罪</t>
    </r>
    <phoneticPr fontId="3" type="noConversion"/>
  </si>
  <si>
    <r>
      <rPr>
        <sz val="12"/>
        <color theme="1"/>
        <rFont val="新細明體"/>
        <family val="2"/>
        <charset val="136"/>
        <scheme val="minor"/>
      </rPr>
      <t>重利罪</t>
    </r>
    <phoneticPr fontId="3" type="noConversion"/>
  </si>
  <si>
    <r>
      <rPr>
        <sz val="12"/>
        <color theme="1"/>
        <rFont val="新細明體"/>
        <family val="2"/>
        <charset val="136"/>
        <scheme val="minor"/>
      </rPr>
      <t>誣告罪</t>
    </r>
    <phoneticPr fontId="3" type="noConversion"/>
  </si>
  <si>
    <r>
      <rPr>
        <sz val="12"/>
        <color theme="1"/>
        <rFont val="新細明體"/>
        <family val="2"/>
        <charset val="136"/>
        <scheme val="minor"/>
      </rPr>
      <t>強盜罪</t>
    </r>
    <phoneticPr fontId="3" type="noConversion"/>
  </si>
  <si>
    <r>
      <rPr>
        <sz val="12"/>
        <color theme="1"/>
        <rFont val="新細明體"/>
        <family val="2"/>
        <charset val="136"/>
        <scheme val="minor"/>
      </rPr>
      <t>偽證罪</t>
    </r>
    <phoneticPr fontId="3" type="noConversion"/>
  </si>
  <si>
    <r>
      <rPr>
        <sz val="12"/>
        <color theme="1"/>
        <rFont val="新細明體"/>
        <family val="2"/>
        <charset val="136"/>
        <scheme val="minor"/>
      </rPr>
      <t>商標法</t>
    </r>
    <phoneticPr fontId="3" type="noConversion"/>
  </si>
  <si>
    <r>
      <rPr>
        <sz val="12"/>
        <color theme="1"/>
        <rFont val="新細明體"/>
        <family val="2"/>
        <charset val="136"/>
        <scheme val="minor"/>
      </rPr>
      <t>著作權法</t>
    </r>
    <phoneticPr fontId="3" type="noConversion"/>
  </si>
  <si>
    <r>
      <rPr>
        <sz val="12"/>
        <color theme="1"/>
        <rFont val="新細明體"/>
        <family val="2"/>
        <charset val="136"/>
        <scheme val="minor"/>
      </rPr>
      <t>背信罪</t>
    </r>
    <phoneticPr fontId="3" type="noConversion"/>
  </si>
  <si>
    <r>
      <rPr>
        <sz val="12"/>
        <color theme="1"/>
        <rFont val="新細明體"/>
        <family val="2"/>
        <charset val="136"/>
        <scheme val="minor"/>
      </rPr>
      <t>偽造貨幣罪</t>
    </r>
    <phoneticPr fontId="3" type="noConversion"/>
  </si>
  <si>
    <t>脫逃罪</t>
    <phoneticPr fontId="3" type="noConversion"/>
  </si>
  <si>
    <r>
      <rPr>
        <sz val="12"/>
        <color theme="1"/>
        <rFont val="新細明體"/>
        <family val="2"/>
        <charset val="136"/>
        <scheme val="minor"/>
      </rPr>
      <t>野生動物保育法</t>
    </r>
  </si>
  <si>
    <t>就業服務法</t>
  </si>
  <si>
    <r>
      <rPr>
        <sz val="12"/>
        <color theme="1"/>
        <rFont val="新細明體"/>
        <family val="2"/>
        <charset val="136"/>
        <scheme val="minor"/>
      </rPr>
      <t>森林法</t>
    </r>
    <phoneticPr fontId="3" type="noConversion"/>
  </si>
  <si>
    <r>
      <rPr>
        <sz val="12"/>
        <color theme="1"/>
        <rFont val="新細明體"/>
        <family val="2"/>
        <charset val="136"/>
        <scheme val="minor"/>
      </rPr>
      <t>遺棄罪</t>
    </r>
    <phoneticPr fontId="3" type="noConversion"/>
  </si>
  <si>
    <t>人口販運防治法</t>
    <phoneticPr fontId="2" type="noConversion"/>
  </si>
  <si>
    <r>
      <rPr>
        <sz val="12"/>
        <color theme="1"/>
        <rFont val="新細明體"/>
        <family val="2"/>
        <charset val="136"/>
        <scheme val="minor"/>
      </rPr>
      <t>戶籍法</t>
    </r>
    <phoneticPr fontId="3" type="noConversion"/>
  </si>
  <si>
    <r>
      <rPr>
        <sz val="12"/>
        <color theme="1"/>
        <rFont val="新細明體"/>
        <family val="2"/>
        <charset val="136"/>
        <scheme val="minor"/>
      </rPr>
      <t>民用航空法</t>
    </r>
  </si>
  <si>
    <r>
      <rPr>
        <sz val="12"/>
        <color theme="1"/>
        <rFont val="新細明體"/>
        <family val="2"/>
        <charset val="136"/>
        <scheme val="minor"/>
      </rPr>
      <t>妨害農工商罪</t>
    </r>
    <phoneticPr fontId="3" type="noConversion"/>
  </si>
  <si>
    <r>
      <rPr>
        <sz val="12"/>
        <color theme="1"/>
        <rFont val="新細明體"/>
        <family val="2"/>
        <charset val="136"/>
        <scheme val="minor"/>
      </rPr>
      <t>妨礙投票罪</t>
    </r>
    <phoneticPr fontId="3" type="noConversion"/>
  </si>
  <si>
    <t>災害防救法</t>
    <phoneticPr fontId="2" type="noConversion"/>
  </si>
  <si>
    <r>
      <rPr>
        <sz val="12"/>
        <color theme="1"/>
        <rFont val="新細明體"/>
        <family val="2"/>
        <charset val="136"/>
        <scheme val="minor"/>
      </rPr>
      <t>性騷擾防治法</t>
    </r>
  </si>
  <si>
    <r>
      <rPr>
        <sz val="12"/>
        <color theme="1"/>
        <rFont val="新細明體"/>
        <family val="2"/>
        <charset val="136"/>
        <scheme val="minor"/>
      </rPr>
      <t>洗錢防制法</t>
    </r>
    <phoneticPr fontId="3" type="noConversion"/>
  </si>
  <si>
    <r>
      <rPr>
        <sz val="12"/>
        <color theme="1"/>
        <rFont val="新細明體"/>
        <family val="2"/>
        <charset val="136"/>
        <scheme val="minor"/>
      </rPr>
      <t>個人資料保護法</t>
    </r>
  </si>
  <si>
    <r>
      <rPr>
        <sz val="12"/>
        <color theme="1"/>
        <rFont val="新細明體"/>
        <family val="2"/>
        <charset val="136"/>
        <scheme val="minor"/>
      </rPr>
      <t>家庭暴力防治法</t>
    </r>
    <phoneticPr fontId="3" type="noConversion"/>
  </si>
  <si>
    <r>
      <rPr>
        <sz val="12"/>
        <color theme="1"/>
        <rFont val="新細明體"/>
        <family val="2"/>
        <charset val="136"/>
        <scheme val="minor"/>
      </rPr>
      <t>偽造有價證券罪</t>
    </r>
    <phoneticPr fontId="3" type="noConversion"/>
  </si>
  <si>
    <r>
      <rPr>
        <sz val="12"/>
        <color theme="1"/>
        <rFont val="新細明體"/>
        <family val="2"/>
        <charset val="136"/>
        <scheme val="minor"/>
      </rPr>
      <t>動物保護法</t>
    </r>
  </si>
  <si>
    <r>
      <rPr>
        <sz val="12"/>
        <color theme="1"/>
        <rFont val="新細明體"/>
        <family val="2"/>
        <charset val="136"/>
        <scheme val="minor"/>
      </rPr>
      <t>組織犯罪防制條例</t>
    </r>
    <phoneticPr fontId="3" type="noConversion"/>
  </si>
  <si>
    <t>傳染病防治法</t>
    <phoneticPr fontId="2" type="noConversion"/>
  </si>
  <si>
    <r>
      <rPr>
        <sz val="12"/>
        <color theme="1"/>
        <rFont val="新細明體"/>
        <family val="2"/>
        <charset val="136"/>
        <scheme val="minor"/>
      </rPr>
      <t>電子遊戲場業管理條例</t>
    </r>
    <phoneticPr fontId="3" type="noConversion"/>
  </si>
  <si>
    <r>
      <rPr>
        <sz val="12"/>
        <color theme="1"/>
        <rFont val="新細明體"/>
        <family val="2"/>
        <charset val="136"/>
        <scheme val="minor"/>
      </rPr>
      <t>電信法</t>
    </r>
    <phoneticPr fontId="3" type="noConversion"/>
  </si>
  <si>
    <r>
      <rPr>
        <sz val="12"/>
        <color theme="1"/>
        <rFont val="新細明體"/>
        <family val="2"/>
        <charset val="136"/>
        <scheme val="minor"/>
      </rPr>
      <t>電業法</t>
    </r>
  </si>
  <si>
    <r>
      <rPr>
        <sz val="12"/>
        <color theme="1"/>
        <rFont val="新細明體"/>
        <family val="2"/>
        <charset val="136"/>
        <scheme val="minor"/>
      </rPr>
      <t>墮胎罪</t>
    </r>
    <phoneticPr fontId="3" type="noConversion"/>
  </si>
  <si>
    <r>
      <rPr>
        <sz val="12"/>
        <color theme="1"/>
        <rFont val="新細明體"/>
        <family val="2"/>
        <charset val="136"/>
        <scheme val="minor"/>
      </rPr>
      <t>廢棄物清理法</t>
    </r>
  </si>
  <si>
    <r>
      <rPr>
        <sz val="12"/>
        <color theme="1"/>
        <rFont val="新細明體"/>
        <family val="2"/>
        <charset val="136"/>
        <scheme val="minor"/>
      </rPr>
      <t>擄人勒贖罪</t>
    </r>
    <phoneticPr fontId="3" type="noConversion"/>
  </si>
  <si>
    <r>
      <rPr>
        <sz val="12"/>
        <color theme="1"/>
        <rFont val="新細明體"/>
        <family val="2"/>
        <charset val="136"/>
        <scheme val="minor"/>
      </rPr>
      <t>選舉罷免法</t>
    </r>
  </si>
  <si>
    <t>褻瀆祀典及侵害墳墓屍體罪</t>
  </si>
  <si>
    <r>
      <rPr>
        <sz val="12"/>
        <color theme="1"/>
        <rFont val="新細明體"/>
        <family val="2"/>
        <charset val="136"/>
        <scheme val="minor"/>
      </rPr>
      <t>醫療法</t>
    </r>
  </si>
  <si>
    <t>嚴重特殊傳染性肺炎防治及紓困振興特別條例</t>
    <phoneticPr fontId="2" type="noConversion"/>
  </si>
  <si>
    <r>
      <rPr>
        <sz val="12"/>
        <color theme="1"/>
        <rFont val="新細明體"/>
        <family val="2"/>
        <charset val="136"/>
        <scheme val="minor"/>
      </rPr>
      <t>護照條例</t>
    </r>
  </si>
  <si>
    <r>
      <rPr>
        <sz val="15"/>
        <color theme="1"/>
        <rFont val="新細明體"/>
        <family val="1"/>
        <charset val="136"/>
      </rPr>
      <t>表</t>
    </r>
    <r>
      <rPr>
        <sz val="15"/>
        <color theme="1"/>
        <rFont val="Times New Roman"/>
        <family val="1"/>
      </rPr>
      <t>3-2-4</t>
    </r>
    <r>
      <rPr>
        <sz val="15"/>
        <color theme="1"/>
        <rFont val="新細明體"/>
        <family val="1"/>
        <charset val="136"/>
      </rPr>
      <t>　近</t>
    </r>
    <r>
      <rPr>
        <sz val="15"/>
        <color theme="1"/>
        <rFont val="Times New Roman"/>
        <family val="1"/>
      </rPr>
      <t>10</t>
    </r>
    <r>
      <rPr>
        <sz val="15"/>
        <color theme="1"/>
        <rFont val="新細明體"/>
        <family val="1"/>
        <charset val="136"/>
      </rPr>
      <t>年地方法院（庭）審理終結之少年觸法、虞犯</t>
    </r>
    <r>
      <rPr>
        <sz val="15"/>
        <color theme="1"/>
        <rFont val="Times New Roman"/>
        <family val="1"/>
      </rPr>
      <t>/</t>
    </r>
    <r>
      <rPr>
        <sz val="15"/>
        <color theme="1"/>
        <rFont val="新細明體"/>
        <family val="1"/>
        <charset val="136"/>
      </rPr>
      <t>曝險人數</t>
    </r>
    <phoneticPr fontId="3" type="noConversion"/>
  </si>
  <si>
    <t>觸　犯　刑　罰　法   令</t>
    <phoneticPr fontId="3" type="noConversion"/>
  </si>
  <si>
    <t>虞犯/曝險</t>
    <phoneticPr fontId="3" type="noConversion"/>
  </si>
  <si>
    <t>總　計</t>
    <phoneticPr fontId="3" type="noConversion"/>
  </si>
  <si>
    <t>保　護    事　件</t>
    <phoneticPr fontId="3" type="noConversion"/>
  </si>
  <si>
    <t>刑     事     案     件</t>
    <phoneticPr fontId="3" type="noConversion"/>
  </si>
  <si>
    <t>人數</t>
    <phoneticPr fontId="3" type="noConversion"/>
  </si>
  <si>
    <t xml:space="preserve">指數 </t>
    <phoneticPr fontId="3" type="noConversion"/>
  </si>
  <si>
    <t>指數</t>
    <phoneticPr fontId="3" type="noConversion"/>
  </si>
  <si>
    <r>
      <t>103</t>
    </r>
    <r>
      <rPr>
        <sz val="12"/>
        <color theme="1"/>
        <rFont val="新細明體"/>
        <family val="2"/>
        <charset val="136"/>
        <scheme val="minor"/>
      </rPr>
      <t>年</t>
    </r>
    <r>
      <rPr>
        <sz val="12"/>
        <rFont val="細明體"/>
        <family val="3"/>
        <charset val="136"/>
      </rPr>
      <t/>
    </r>
  </si>
  <si>
    <r>
      <t>104</t>
    </r>
    <r>
      <rPr>
        <sz val="12"/>
        <color theme="1"/>
        <rFont val="新細明體"/>
        <family val="2"/>
        <charset val="136"/>
        <scheme val="minor"/>
      </rPr>
      <t>年</t>
    </r>
    <r>
      <rPr>
        <sz val="12"/>
        <rFont val="細明體"/>
        <family val="3"/>
        <charset val="136"/>
      </rPr>
      <t/>
    </r>
  </si>
  <si>
    <r>
      <t>105</t>
    </r>
    <r>
      <rPr>
        <sz val="12"/>
        <color theme="1"/>
        <rFont val="新細明體"/>
        <family val="2"/>
        <charset val="136"/>
        <scheme val="minor"/>
      </rPr>
      <t>年</t>
    </r>
    <r>
      <rPr>
        <sz val="12"/>
        <rFont val="細明體"/>
        <family val="3"/>
        <charset val="136"/>
      </rPr>
      <t/>
    </r>
  </si>
  <si>
    <r>
      <t>106</t>
    </r>
    <r>
      <rPr>
        <sz val="12"/>
        <color theme="1"/>
        <rFont val="新細明體"/>
        <family val="2"/>
        <charset val="136"/>
        <scheme val="minor"/>
      </rPr>
      <t>年</t>
    </r>
    <r>
      <rPr>
        <sz val="12"/>
        <rFont val="細明體"/>
        <family val="3"/>
        <charset val="136"/>
      </rPr>
      <t/>
    </r>
  </si>
  <si>
    <r>
      <t>107</t>
    </r>
    <r>
      <rPr>
        <sz val="12"/>
        <color theme="1"/>
        <rFont val="新細明體"/>
        <family val="2"/>
        <charset val="136"/>
        <scheme val="minor"/>
      </rPr>
      <t>年</t>
    </r>
    <r>
      <rPr>
        <sz val="12"/>
        <rFont val="細明體"/>
        <family val="3"/>
        <charset val="136"/>
      </rPr>
      <t/>
    </r>
  </si>
  <si>
    <r>
      <t>108</t>
    </r>
    <r>
      <rPr>
        <sz val="12"/>
        <color theme="1"/>
        <rFont val="新細明體"/>
        <family val="2"/>
        <charset val="136"/>
        <scheme val="minor"/>
      </rPr>
      <t>年</t>
    </r>
    <r>
      <rPr>
        <sz val="12"/>
        <rFont val="細明體"/>
        <family val="3"/>
        <charset val="136"/>
      </rPr>
      <t/>
    </r>
  </si>
  <si>
    <r>
      <t>109</t>
    </r>
    <r>
      <rPr>
        <sz val="12"/>
        <color theme="1"/>
        <rFont val="新細明體"/>
        <family val="2"/>
        <charset val="136"/>
        <scheme val="minor"/>
      </rPr>
      <t>年</t>
    </r>
    <r>
      <rPr>
        <sz val="12"/>
        <rFont val="細明體"/>
        <family val="3"/>
        <charset val="136"/>
      </rPr>
      <t/>
    </r>
    <phoneticPr fontId="20" type="noConversion"/>
  </si>
  <si>
    <r>
      <t>111</t>
    </r>
    <r>
      <rPr>
        <sz val="12"/>
        <color theme="1"/>
        <rFont val="Times New Roman"/>
        <family val="2"/>
      </rPr>
      <t>年</t>
    </r>
    <phoneticPr fontId="20" type="noConversion"/>
  </si>
  <si>
    <r>
      <rPr>
        <sz val="10"/>
        <color theme="1"/>
        <rFont val="新細明體"/>
        <family val="1"/>
        <charset val="136"/>
      </rPr>
      <t>資料來源：司法院（表</t>
    </r>
    <r>
      <rPr>
        <sz val="10"/>
        <color theme="1"/>
        <rFont val="Times New Roman"/>
        <family val="1"/>
      </rPr>
      <t>10914-02-05-05</t>
    </r>
    <r>
      <rPr>
        <sz val="10"/>
        <color theme="1"/>
        <rFont val="新細明體"/>
        <family val="1"/>
        <charset val="136"/>
      </rPr>
      <t>、</t>
    </r>
    <r>
      <rPr>
        <sz val="10"/>
        <color theme="1"/>
        <rFont val="Times New Roman"/>
        <family val="1"/>
      </rPr>
      <t>10914-03-04-05</t>
    </r>
    <r>
      <rPr>
        <sz val="10"/>
        <color theme="1"/>
        <rFont val="新細明體"/>
        <family val="1"/>
        <charset val="136"/>
      </rPr>
      <t>）。</t>
    </r>
    <phoneticPr fontId="3" type="noConversion"/>
  </si>
  <si>
    <r>
      <rPr>
        <sz val="12"/>
        <color theme="1"/>
        <rFont val="新細明體"/>
        <family val="2"/>
        <charset val="136"/>
        <scheme val="minor"/>
      </rPr>
      <t>勉足維持生活</t>
    </r>
    <phoneticPr fontId="3" type="noConversion"/>
  </si>
  <si>
    <r>
      <rPr>
        <sz val="12"/>
        <color theme="1"/>
        <rFont val="新細明體"/>
        <family val="2"/>
        <charset val="136"/>
        <scheme val="minor"/>
      </rPr>
      <t>小康之家</t>
    </r>
    <phoneticPr fontId="3" type="noConversion"/>
  </si>
  <si>
    <r>
      <rPr>
        <sz val="12"/>
        <color theme="1"/>
        <rFont val="新細明體"/>
        <family val="2"/>
        <charset val="136"/>
        <scheme val="minor"/>
      </rPr>
      <t>低收入戶</t>
    </r>
    <phoneticPr fontId="3" type="noConversion"/>
  </si>
  <si>
    <r>
      <rPr>
        <sz val="12"/>
        <color theme="1"/>
        <rFont val="新細明體"/>
        <family val="2"/>
        <charset val="136"/>
        <scheme val="minor"/>
      </rPr>
      <t>中產以上</t>
    </r>
    <phoneticPr fontId="3" type="noConversion"/>
  </si>
  <si>
    <r>
      <rPr>
        <sz val="12"/>
        <color theme="1"/>
        <rFont val="新細明體"/>
        <family val="2"/>
        <charset val="136"/>
        <scheme val="minor"/>
      </rPr>
      <t>不詳</t>
    </r>
    <phoneticPr fontId="3" type="noConversion"/>
  </si>
  <si>
    <t>108年</t>
    <phoneticPr fontId="2" type="noConversion"/>
  </si>
  <si>
    <r>
      <rPr>
        <sz val="15"/>
        <color theme="1"/>
        <rFont val="新細明體"/>
        <family val="1"/>
        <charset val="136"/>
      </rPr>
      <t>表</t>
    </r>
    <r>
      <rPr>
        <sz val="15"/>
        <color theme="1"/>
        <rFont val="Times New Roman"/>
        <family val="1"/>
      </rPr>
      <t xml:space="preserve">3-2-11     </t>
    </r>
    <r>
      <rPr>
        <sz val="15"/>
        <color theme="1"/>
        <rFont val="新細明體"/>
        <family val="1"/>
        <charset val="136"/>
      </rPr>
      <t>近</t>
    </r>
    <r>
      <rPr>
        <sz val="15"/>
        <color theme="1"/>
        <rFont val="Times New Roman"/>
        <family val="1"/>
      </rPr>
      <t>10</t>
    </r>
    <r>
      <rPr>
        <sz val="15"/>
        <color theme="1"/>
        <rFont val="新細明體"/>
        <family val="1"/>
        <charset val="136"/>
      </rPr>
      <t>年觸法少年交付保護處分之父母現況</t>
    </r>
    <phoneticPr fontId="3" type="noConversion"/>
  </si>
  <si>
    <r>
      <rPr>
        <sz val="12"/>
        <color theme="1"/>
        <rFont val="新細明體"/>
        <family val="2"/>
        <charset val="136"/>
        <scheme val="minor"/>
      </rPr>
      <t>父母俱存</t>
    </r>
    <phoneticPr fontId="3" type="noConversion"/>
  </si>
  <si>
    <r>
      <rPr>
        <sz val="12"/>
        <color theme="1"/>
        <rFont val="新細明體"/>
        <family val="2"/>
        <charset val="136"/>
        <scheme val="minor"/>
      </rPr>
      <t>母存父亡</t>
    </r>
    <phoneticPr fontId="3" type="noConversion"/>
  </si>
  <si>
    <r>
      <rPr>
        <sz val="12"/>
        <color theme="1"/>
        <rFont val="新細明體"/>
        <family val="2"/>
        <charset val="136"/>
        <scheme val="minor"/>
      </rPr>
      <t>父或母不詳</t>
    </r>
    <r>
      <rPr>
        <sz val="12"/>
        <rFont val="Times New Roman"/>
        <family val="1"/>
      </rPr>
      <t xml:space="preserve"> </t>
    </r>
    <phoneticPr fontId="3" type="noConversion"/>
  </si>
  <si>
    <r>
      <rPr>
        <sz val="12"/>
        <color theme="1"/>
        <rFont val="新細明體"/>
        <family val="2"/>
        <charset val="136"/>
        <scheme val="minor"/>
      </rPr>
      <t>父存母亡</t>
    </r>
    <phoneticPr fontId="3" type="noConversion"/>
  </si>
  <si>
    <r>
      <rPr>
        <sz val="12"/>
        <color theme="1"/>
        <rFont val="新細明體"/>
        <family val="2"/>
        <charset val="136"/>
        <scheme val="minor"/>
      </rPr>
      <t>父母俱亡</t>
    </r>
    <phoneticPr fontId="3" type="noConversion"/>
  </si>
  <si>
    <r>
      <t>101</t>
    </r>
    <r>
      <rPr>
        <sz val="12"/>
        <color theme="1"/>
        <rFont val="新細明體"/>
        <family val="2"/>
        <charset val="136"/>
      </rPr>
      <t>年</t>
    </r>
    <r>
      <rPr>
        <sz val="12"/>
        <rFont val="Times New Roman"/>
        <family val="1"/>
      </rPr>
      <t/>
    </r>
    <phoneticPr fontId="3" type="noConversion"/>
  </si>
  <si>
    <r>
      <t>103年</t>
    </r>
    <r>
      <rPr>
        <sz val="12"/>
        <rFont val="Times New Roman"/>
        <family val="1"/>
      </rPr>
      <t/>
    </r>
  </si>
  <si>
    <r>
      <t>104年</t>
    </r>
    <r>
      <rPr>
        <sz val="12"/>
        <rFont val="Times New Roman"/>
        <family val="1"/>
      </rPr>
      <t/>
    </r>
  </si>
  <si>
    <r>
      <t>105年</t>
    </r>
    <r>
      <rPr>
        <sz val="12"/>
        <rFont val="Times New Roman"/>
        <family val="1"/>
      </rPr>
      <t/>
    </r>
  </si>
  <si>
    <r>
      <t>106年</t>
    </r>
    <r>
      <rPr>
        <sz val="12"/>
        <rFont val="Times New Roman"/>
        <family val="1"/>
      </rPr>
      <t/>
    </r>
  </si>
  <si>
    <r>
      <t>107年</t>
    </r>
    <r>
      <rPr>
        <sz val="12"/>
        <rFont val="Times New Roman"/>
        <family val="1"/>
      </rPr>
      <t/>
    </r>
  </si>
  <si>
    <r>
      <t>108年</t>
    </r>
    <r>
      <rPr>
        <sz val="12"/>
        <rFont val="Times New Roman"/>
        <family val="1"/>
      </rPr>
      <t/>
    </r>
  </si>
  <si>
    <r>
      <t>109年</t>
    </r>
    <r>
      <rPr>
        <sz val="12"/>
        <rFont val="Times New Roman"/>
        <family val="1"/>
      </rPr>
      <t/>
    </r>
  </si>
  <si>
    <r>
      <t>110年</t>
    </r>
    <r>
      <rPr>
        <sz val="12"/>
        <rFont val="Times New Roman"/>
        <family val="1"/>
      </rPr>
      <t/>
    </r>
  </si>
  <si>
    <r>
      <rPr>
        <sz val="12"/>
        <color theme="1"/>
        <rFont val="新細明體"/>
        <family val="2"/>
        <charset val="136"/>
      </rPr>
      <t>總計</t>
    </r>
    <phoneticPr fontId="3" type="noConversion"/>
  </si>
  <si>
    <r>
      <rPr>
        <sz val="12"/>
        <color theme="1"/>
        <rFont val="新細明體"/>
        <family val="2"/>
        <charset val="136"/>
      </rPr>
      <t>男</t>
    </r>
    <phoneticPr fontId="3" type="noConversion"/>
  </si>
  <si>
    <r>
      <rPr>
        <sz val="12"/>
        <color theme="1"/>
        <rFont val="新細明體"/>
        <family val="2"/>
        <charset val="136"/>
      </rPr>
      <t>女</t>
    </r>
    <phoneticPr fontId="3" type="noConversion"/>
  </si>
  <si>
    <r>
      <rPr>
        <sz val="12"/>
        <color theme="1"/>
        <rFont val="新細明體"/>
        <family val="2"/>
        <charset val="136"/>
      </rPr>
      <t>毒品危害防制條例</t>
    </r>
    <phoneticPr fontId="3" type="noConversion"/>
  </si>
  <si>
    <r>
      <rPr>
        <sz val="12"/>
        <color theme="1"/>
        <rFont val="新細明體"/>
        <family val="2"/>
        <charset val="136"/>
      </rPr>
      <t>妨害性自主罪</t>
    </r>
    <phoneticPr fontId="3" type="noConversion"/>
  </si>
  <si>
    <r>
      <rPr>
        <sz val="12"/>
        <color theme="1"/>
        <rFont val="新細明體"/>
        <family val="2"/>
        <charset val="136"/>
      </rPr>
      <t>強盜罪</t>
    </r>
    <phoneticPr fontId="3" type="noConversion"/>
  </si>
  <si>
    <r>
      <rPr>
        <sz val="12"/>
        <color theme="1"/>
        <rFont val="新細明體"/>
        <family val="2"/>
        <charset val="136"/>
      </rPr>
      <t>傷害罪</t>
    </r>
    <phoneticPr fontId="3" type="noConversion"/>
  </si>
  <si>
    <r>
      <rPr>
        <sz val="12"/>
        <color theme="1"/>
        <rFont val="新細明體"/>
        <family val="2"/>
        <charset val="136"/>
      </rPr>
      <t>殺人罪</t>
    </r>
    <phoneticPr fontId="3" type="noConversion"/>
  </si>
  <si>
    <r>
      <rPr>
        <sz val="12"/>
        <color theme="1"/>
        <rFont val="新細明體"/>
        <family val="2"/>
        <charset val="136"/>
      </rPr>
      <t>詐欺罪</t>
    </r>
    <phoneticPr fontId="3" type="noConversion"/>
  </si>
  <si>
    <r>
      <rPr>
        <sz val="12"/>
        <color theme="1"/>
        <rFont val="新細明體"/>
        <family val="2"/>
        <charset val="136"/>
      </rPr>
      <t>公共危險罪</t>
    </r>
    <phoneticPr fontId="3" type="noConversion"/>
  </si>
  <si>
    <r>
      <rPr>
        <sz val="12"/>
        <color theme="1"/>
        <rFont val="新細明體"/>
        <family val="2"/>
        <charset val="136"/>
      </rPr>
      <t>槍砲彈藥刀械管制條例</t>
    </r>
    <phoneticPr fontId="3" type="noConversion"/>
  </si>
  <si>
    <r>
      <rPr>
        <sz val="12"/>
        <color theme="1"/>
        <rFont val="新細明體"/>
        <family val="2"/>
        <charset val="136"/>
      </rPr>
      <t>竊盜罪</t>
    </r>
    <phoneticPr fontId="3" type="noConversion"/>
  </si>
  <si>
    <r>
      <rPr>
        <sz val="12"/>
        <color theme="1"/>
        <rFont val="新細明體"/>
        <family val="2"/>
        <charset val="136"/>
      </rPr>
      <t>偽造文書印文罪</t>
    </r>
    <phoneticPr fontId="3" type="noConversion"/>
  </si>
  <si>
    <r>
      <rPr>
        <sz val="12"/>
        <color theme="1"/>
        <rFont val="新細明體"/>
        <family val="2"/>
        <charset val="136"/>
      </rPr>
      <t>妨害自由罪</t>
    </r>
    <phoneticPr fontId="3" type="noConversion"/>
  </si>
  <si>
    <r>
      <rPr>
        <sz val="12"/>
        <color theme="1"/>
        <rFont val="新細明體"/>
        <family val="2"/>
        <charset val="136"/>
      </rPr>
      <t>偽證罪</t>
    </r>
    <phoneticPr fontId="3" type="noConversion"/>
  </si>
  <si>
    <r>
      <rPr>
        <sz val="12"/>
        <color theme="1"/>
        <rFont val="新細明體"/>
        <family val="2"/>
        <charset val="136"/>
      </rPr>
      <t>藥事法</t>
    </r>
    <phoneticPr fontId="3" type="noConversion"/>
  </si>
  <si>
    <r>
      <rPr>
        <sz val="12"/>
        <color theme="1"/>
        <rFont val="新細明體"/>
        <family val="2"/>
        <charset val="136"/>
      </rPr>
      <t>妨害名譽及信用罪</t>
    </r>
    <phoneticPr fontId="3" type="noConversion"/>
  </si>
  <si>
    <r>
      <rPr>
        <sz val="12"/>
        <color theme="1"/>
        <rFont val="新細明體"/>
        <family val="2"/>
        <charset val="136"/>
      </rPr>
      <t>妨害風化罪</t>
    </r>
    <phoneticPr fontId="3" type="noConversion"/>
  </si>
  <si>
    <r>
      <rPr>
        <sz val="12"/>
        <color theme="1"/>
        <rFont val="新細明體"/>
        <family val="2"/>
        <charset val="136"/>
      </rPr>
      <t>重利罪</t>
    </r>
    <phoneticPr fontId="3" type="noConversion"/>
  </si>
  <si>
    <r>
      <rPr>
        <sz val="12"/>
        <color theme="1"/>
        <rFont val="新細明體"/>
        <family val="2"/>
        <charset val="136"/>
      </rPr>
      <t>恐嚇取財罪</t>
    </r>
    <phoneticPr fontId="3" type="noConversion"/>
  </si>
  <si>
    <r>
      <rPr>
        <sz val="12"/>
        <color theme="1"/>
        <rFont val="新細明體"/>
        <family val="2"/>
        <charset val="136"/>
      </rPr>
      <t>稅法</t>
    </r>
    <phoneticPr fontId="20" type="noConversion"/>
  </si>
  <si>
    <r>
      <rPr>
        <sz val="12"/>
        <color theme="1"/>
        <rFont val="新細明體"/>
        <family val="2"/>
        <charset val="136"/>
      </rPr>
      <t>搶奪及海盜罪</t>
    </r>
    <phoneticPr fontId="3" type="noConversion"/>
  </si>
  <si>
    <r>
      <rPr>
        <sz val="12"/>
        <color theme="1"/>
        <rFont val="新細明體"/>
        <family val="2"/>
        <charset val="136"/>
      </rPr>
      <t>廢棄物清理法</t>
    </r>
    <phoneticPr fontId="2" type="noConversion"/>
  </si>
  <si>
    <r>
      <rPr>
        <sz val="12"/>
        <color theme="1"/>
        <rFont val="新細明體"/>
        <family val="2"/>
        <charset val="136"/>
      </rPr>
      <t>擄人勒贖罪</t>
    </r>
    <phoneticPr fontId="3" type="noConversion"/>
  </si>
  <si>
    <r>
      <rPr>
        <sz val="12"/>
        <color theme="1"/>
        <rFont val="新細明體"/>
        <family val="2"/>
        <charset val="136"/>
      </rPr>
      <t>遺棄罪</t>
    </r>
    <phoneticPr fontId="3" type="noConversion"/>
  </si>
  <si>
    <t>偽造有價證券罪</t>
    <phoneticPr fontId="2" type="noConversion"/>
  </si>
  <si>
    <r>
      <rPr>
        <sz val="12"/>
        <color theme="1"/>
        <rFont val="新細明體"/>
        <family val="2"/>
        <charset val="136"/>
      </rPr>
      <t>贓物罪</t>
    </r>
    <phoneticPr fontId="3" type="noConversion"/>
  </si>
  <si>
    <r>
      <rPr>
        <sz val="12"/>
        <color theme="1"/>
        <rFont val="新細明體"/>
        <family val="2"/>
        <charset val="136"/>
      </rPr>
      <t>其他</t>
    </r>
    <phoneticPr fontId="3" type="noConversion"/>
  </si>
  <si>
    <r>
      <rPr>
        <sz val="10"/>
        <color theme="1"/>
        <rFont val="新細明體"/>
        <family val="1"/>
        <charset val="136"/>
      </rPr>
      <t>資料來源：司法院</t>
    </r>
    <r>
      <rPr>
        <sz val="10"/>
        <color theme="1"/>
        <rFont val="Times New Roman"/>
        <family val="1"/>
      </rPr>
      <t xml:space="preserve"> (</t>
    </r>
    <r>
      <rPr>
        <sz val="10"/>
        <color theme="1"/>
        <rFont val="新細明體"/>
        <family val="1"/>
        <charset val="136"/>
      </rPr>
      <t>表</t>
    </r>
    <r>
      <rPr>
        <sz val="10"/>
        <color theme="1"/>
        <rFont val="Times New Roman"/>
        <family val="1"/>
      </rPr>
      <t>10914-02-05-05)</t>
    </r>
    <r>
      <rPr>
        <sz val="10"/>
        <color theme="1"/>
        <rFont val="新細明體"/>
        <family val="1"/>
        <charset val="136"/>
      </rPr>
      <t>。
說　　明：本表刑事案件，係指當年度經法院裁判且經個案調查的少年。</t>
    </r>
    <phoneticPr fontId="3" type="noConversion"/>
  </si>
  <si>
    <r>
      <rPr>
        <sz val="15"/>
        <rFont val="新細明體"/>
        <family val="1"/>
        <charset val="136"/>
      </rPr>
      <t>表</t>
    </r>
    <r>
      <rPr>
        <sz val="15"/>
        <rFont val="Times New Roman"/>
        <family val="1"/>
      </rPr>
      <t>3-2-14</t>
    </r>
    <r>
      <rPr>
        <sz val="15"/>
        <rFont val="新細明體"/>
        <family val="1"/>
        <charset val="136"/>
      </rPr>
      <t>　</t>
    </r>
    <r>
      <rPr>
        <sz val="15"/>
        <rFont val="Times New Roman"/>
        <family val="1"/>
      </rPr>
      <t xml:space="preserve"> </t>
    </r>
    <r>
      <rPr>
        <sz val="15"/>
        <rFont val="新細明體"/>
        <family val="1"/>
        <charset val="136"/>
      </rPr>
      <t>近</t>
    </r>
    <r>
      <rPr>
        <sz val="15"/>
        <rFont val="Times New Roman"/>
        <family val="1"/>
      </rPr>
      <t>10</t>
    </r>
    <r>
      <rPr>
        <sz val="15"/>
        <rFont val="新細明體"/>
        <family val="1"/>
        <charset val="136"/>
      </rPr>
      <t>年少年刑事案件年齡</t>
    </r>
    <phoneticPr fontId="3" type="noConversion"/>
  </si>
  <si>
    <r>
      <rPr>
        <sz val="12"/>
        <color theme="1"/>
        <rFont val="新細明體"/>
        <family val="2"/>
        <charset val="136"/>
        <scheme val="minor"/>
      </rPr>
      <t>總</t>
    </r>
    <r>
      <rPr>
        <sz val="12"/>
        <rFont val="Times New Roman"/>
        <family val="1"/>
      </rPr>
      <t xml:space="preserve">  </t>
    </r>
    <r>
      <rPr>
        <sz val="12"/>
        <color theme="1"/>
        <rFont val="新細明體"/>
        <family val="2"/>
        <charset val="136"/>
        <scheme val="minor"/>
      </rPr>
      <t>計</t>
    </r>
    <phoneticPr fontId="3" type="noConversion"/>
  </si>
  <si>
    <r>
      <t>105</t>
    </r>
    <r>
      <rPr>
        <sz val="12"/>
        <color theme="1"/>
        <rFont val="新細明體"/>
        <family val="2"/>
        <charset val="136"/>
        <scheme val="minor"/>
      </rPr>
      <t>年</t>
    </r>
    <phoneticPr fontId="3" type="noConversion"/>
  </si>
  <si>
    <r>
      <t>110</t>
    </r>
    <r>
      <rPr>
        <sz val="12"/>
        <rFont val="細明體"/>
        <family val="3"/>
        <charset val="136"/>
      </rPr>
      <t>年</t>
    </r>
    <phoneticPr fontId="2"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</si>
  <si>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 xml:space="preserve">10914-02-07-05) </t>
    </r>
    <r>
      <rPr>
        <sz val="10"/>
        <rFont val="新細明體"/>
        <family val="1"/>
        <charset val="136"/>
      </rPr>
      <t>。</t>
    </r>
    <phoneticPr fontId="3" type="noConversion"/>
  </si>
  <si>
    <t>說　　明：本表刑事案件，係指當年度經法院裁判且經個案調查的少年。</t>
    <phoneticPr fontId="3" type="noConversion"/>
  </si>
  <si>
    <r>
      <t>111</t>
    </r>
    <r>
      <rPr>
        <sz val="12"/>
        <rFont val="Times New Roman"/>
        <family val="3"/>
      </rPr>
      <t>年</t>
    </r>
    <phoneticPr fontId="2" type="noConversion"/>
  </si>
  <si>
    <t>強盜罪</t>
  </si>
  <si>
    <t>其他</t>
  </si>
  <si>
    <r>
      <rPr>
        <sz val="12"/>
        <color theme="1"/>
        <rFont val="新細明體"/>
        <family val="2"/>
        <charset val="136"/>
        <scheme val="minor"/>
      </rPr>
      <t>高中(職)肄業</t>
    </r>
    <r>
      <rPr>
        <sz val="12"/>
        <rFont val="Times New Roman"/>
        <family val="1"/>
      </rPr>
      <t/>
    </r>
    <phoneticPr fontId="3" type="noConversion"/>
  </si>
  <si>
    <r>
      <rPr>
        <sz val="12"/>
        <color theme="1"/>
        <rFont val="新細明體"/>
        <family val="2"/>
        <charset val="136"/>
        <scheme val="minor"/>
      </rPr>
      <t>國中肄業</t>
    </r>
    <r>
      <rPr>
        <sz val="12"/>
        <rFont val="Times New Roman"/>
        <family val="1"/>
      </rPr>
      <t/>
    </r>
    <phoneticPr fontId="3" type="noConversion"/>
  </si>
  <si>
    <r>
      <rPr>
        <sz val="12"/>
        <color theme="1"/>
        <rFont val="新細明體"/>
        <family val="2"/>
        <charset val="136"/>
        <scheme val="minor"/>
      </rPr>
      <t>國中畢業</t>
    </r>
    <phoneticPr fontId="3" type="noConversion"/>
  </si>
  <si>
    <r>
      <rPr>
        <sz val="12"/>
        <color theme="1"/>
        <rFont val="新細明體"/>
        <family val="2"/>
        <charset val="136"/>
        <scheme val="minor"/>
      </rPr>
      <t>大學</t>
    </r>
    <r>
      <rPr>
        <sz val="12"/>
        <rFont val="Times New Roman"/>
        <family val="1"/>
      </rPr>
      <t>(</t>
    </r>
    <r>
      <rPr>
        <sz val="12"/>
        <color theme="1"/>
        <rFont val="新細明體"/>
        <family val="2"/>
        <charset val="136"/>
        <scheme val="minor"/>
      </rPr>
      <t>專</t>
    </r>
    <r>
      <rPr>
        <sz val="12"/>
        <rFont val="Times New Roman"/>
        <family val="1"/>
      </rPr>
      <t>)</t>
    </r>
    <r>
      <rPr>
        <sz val="12"/>
        <color theme="1"/>
        <rFont val="新細明體"/>
        <family val="2"/>
        <charset val="136"/>
        <scheme val="minor"/>
      </rPr>
      <t>肄業</t>
    </r>
    <r>
      <rPr>
        <sz val="12"/>
        <rFont val="Times New Roman"/>
        <family val="1"/>
      </rPr>
      <t/>
    </r>
    <phoneticPr fontId="3" type="noConversion"/>
  </si>
  <si>
    <r>
      <rPr>
        <sz val="12"/>
        <color theme="1"/>
        <rFont val="新細明體"/>
        <family val="2"/>
        <charset val="136"/>
        <scheme val="minor"/>
      </rPr>
      <t>國小畢業</t>
    </r>
    <phoneticPr fontId="3" type="noConversion"/>
  </si>
  <si>
    <r>
      <rPr>
        <sz val="12"/>
        <color theme="1"/>
        <rFont val="新細明體"/>
        <family val="2"/>
        <charset val="136"/>
        <scheme val="minor"/>
      </rPr>
      <t>國小肄業</t>
    </r>
    <r>
      <rPr>
        <sz val="12"/>
        <rFont val="Times New Roman"/>
        <family val="1"/>
      </rPr>
      <t/>
    </r>
    <phoneticPr fontId="3" type="noConversion"/>
  </si>
  <si>
    <r>
      <t>110</t>
    </r>
    <r>
      <rPr>
        <sz val="12"/>
        <rFont val="細明體"/>
        <family val="3"/>
        <charset val="136"/>
      </rPr>
      <t>年</t>
    </r>
    <r>
      <rPr>
        <sz val="12"/>
        <color theme="1"/>
        <rFont val="新細明體"/>
        <family val="2"/>
        <charset val="136"/>
        <scheme val="minor"/>
      </rPr>
      <t/>
    </r>
    <phoneticPr fontId="2"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</si>
  <si>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 xml:space="preserve">10914-02-06-05) </t>
    </r>
    <r>
      <rPr>
        <sz val="10"/>
        <rFont val="新細明體"/>
        <family val="1"/>
        <charset val="136"/>
      </rPr>
      <t>。</t>
    </r>
    <phoneticPr fontId="3" type="noConversion"/>
  </si>
  <si>
    <r>
      <t>說　　明：</t>
    </r>
    <r>
      <rPr>
        <sz val="10"/>
        <rFont val="Times New Roman"/>
        <family val="1"/>
      </rPr>
      <t xml:space="preserve">1. </t>
    </r>
    <r>
      <rPr>
        <sz val="10"/>
        <rFont val="新細明體"/>
        <family val="1"/>
        <charset val="136"/>
      </rPr>
      <t>肄業含在校及離校。
　　　　　</t>
    </r>
    <r>
      <rPr>
        <sz val="10"/>
        <rFont val="Times New Roman"/>
        <family val="1"/>
      </rPr>
      <t xml:space="preserve">2. </t>
    </r>
    <r>
      <rPr>
        <sz val="10"/>
        <rFont val="新細明體"/>
        <family val="1"/>
        <charset val="136"/>
      </rPr>
      <t>本表刑事案件，係指當年度經法院裁判且經個案調查的少年。</t>
    </r>
    <phoneticPr fontId="37" type="noConversion"/>
  </si>
  <si>
    <r>
      <t>111</t>
    </r>
    <r>
      <rPr>
        <sz val="12"/>
        <rFont val="細明體"/>
        <family val="3"/>
        <charset val="136"/>
      </rPr>
      <t>年</t>
    </r>
    <phoneticPr fontId="2"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</si>
  <si>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10914-03-04-05)</t>
    </r>
    <r>
      <rPr>
        <sz val="10"/>
        <rFont val="新細明體"/>
        <family val="1"/>
        <charset val="136"/>
      </rPr>
      <t>。
說　　明：</t>
    </r>
    <r>
      <rPr>
        <sz val="10"/>
        <rFont val="Times New Roman"/>
        <family val="1"/>
      </rPr>
      <t>1.</t>
    </r>
    <r>
      <rPr>
        <sz val="10"/>
        <rFont val="新細明體"/>
        <family val="1"/>
        <charset val="136"/>
      </rPr>
      <t>本表虞犯</t>
    </r>
    <r>
      <rPr>
        <sz val="10"/>
        <rFont val="Times New Roman"/>
        <family val="1"/>
      </rPr>
      <t>/</t>
    </r>
    <r>
      <rPr>
        <sz val="10"/>
        <rFont val="新細明體"/>
        <family val="1"/>
        <charset val="136"/>
      </rPr>
      <t>曝險少年，係指當年度經法院裁定交付保護處分且經個案調查者。
　　　　　</t>
    </r>
    <r>
      <rPr>
        <sz val="10"/>
        <rFont val="Times New Roman"/>
        <family val="1"/>
      </rPr>
      <t>2.</t>
    </r>
    <r>
      <rPr>
        <sz val="10"/>
        <rFont val="新細明體"/>
        <family val="1"/>
        <charset val="136"/>
      </rPr>
      <t>基於少年事件處理法自</t>
    </r>
    <r>
      <rPr>
        <sz val="10"/>
        <rFont val="Times New Roman"/>
        <family val="1"/>
      </rPr>
      <t>108</t>
    </r>
    <r>
      <rPr>
        <sz val="10"/>
        <rFont val="新細明體"/>
        <family val="1"/>
        <charset val="136"/>
      </rPr>
      <t>年修正虞犯少年為曝險少年，本表於</t>
    </r>
    <r>
      <rPr>
        <sz val="10"/>
        <rFont val="Times New Roman"/>
        <family val="1"/>
      </rPr>
      <t>108</t>
    </r>
    <r>
      <rPr>
        <sz val="10"/>
        <rFont val="新細明體"/>
        <family val="1"/>
        <charset val="136"/>
      </rPr>
      <t>年</t>
    </r>
    <r>
      <rPr>
        <sz val="10"/>
        <rFont val="Times New Roman"/>
        <family val="1"/>
      </rPr>
      <t>6</t>
    </r>
    <r>
      <rPr>
        <sz val="10"/>
        <rFont val="新細明體"/>
        <family val="1"/>
        <charset val="136"/>
      </rPr>
      <t>月前為虞犯少年數據，其後為曝險少年數據。</t>
    </r>
    <phoneticPr fontId="3" type="noConversion"/>
  </si>
  <si>
    <r>
      <rPr>
        <sz val="15"/>
        <color theme="1"/>
        <rFont val="新細明體"/>
        <family val="1"/>
        <charset val="136"/>
      </rPr>
      <t>表</t>
    </r>
    <r>
      <rPr>
        <sz val="15"/>
        <color theme="1"/>
        <rFont val="Times New Roman"/>
        <family val="1"/>
      </rPr>
      <t xml:space="preserve">3-2-27 </t>
    </r>
    <r>
      <rPr>
        <sz val="15"/>
        <color theme="1"/>
        <rFont val="新細明體"/>
        <family val="1"/>
        <charset val="136"/>
      </rPr>
      <t>　近</t>
    </r>
    <r>
      <rPr>
        <sz val="15"/>
        <color theme="1"/>
        <rFont val="Times New Roman"/>
        <family val="1"/>
      </rPr>
      <t>10</t>
    </r>
    <r>
      <rPr>
        <sz val="15"/>
        <color theme="1"/>
        <rFont val="新細明體"/>
        <family val="1"/>
        <charset val="136"/>
      </rPr>
      <t>年曝險少年交付保護處分之父母婚姻狀況</t>
    </r>
    <phoneticPr fontId="3" type="noConversion"/>
  </si>
  <si>
    <r>
      <t>108</t>
    </r>
    <r>
      <rPr>
        <sz val="12"/>
        <rFont val="PMingLiU"/>
        <family val="1"/>
        <charset val="136"/>
      </rPr>
      <t>年</t>
    </r>
    <phoneticPr fontId="2" type="noConversion"/>
  </si>
  <si>
    <r>
      <t>104</t>
    </r>
    <r>
      <rPr>
        <sz val="12"/>
        <rFont val="PMingLiU"/>
        <family val="1"/>
        <charset val="136"/>
      </rPr>
      <t>年</t>
    </r>
    <phoneticPr fontId="2" type="noConversion"/>
  </si>
  <si>
    <r>
      <t>111</t>
    </r>
    <r>
      <rPr>
        <sz val="12"/>
        <color theme="1"/>
        <rFont val="PMingLiU"/>
        <family val="1"/>
        <charset val="136"/>
      </rPr>
      <t>年</t>
    </r>
    <phoneticPr fontId="2" type="noConversion"/>
  </si>
  <si>
    <t>資料來源：法務部統計處。</t>
    <phoneticPr fontId="2" type="noConversion"/>
  </si>
  <si>
    <t xml:space="preserve"> %</t>
    <phoneticPr fontId="37" type="noConversion"/>
  </si>
  <si>
    <r>
      <t xml:space="preserve"> </t>
    </r>
    <r>
      <rPr>
        <sz val="12"/>
        <color theme="1"/>
        <rFont val="新細明體"/>
        <family val="2"/>
        <charset val="136"/>
        <scheme val="minor"/>
      </rPr>
      <t>人</t>
    </r>
    <phoneticPr fontId="37" type="noConversion"/>
  </si>
  <si>
    <r>
      <rPr>
        <sz val="12"/>
        <color theme="1"/>
        <rFont val="新細明體"/>
        <family val="2"/>
        <charset val="136"/>
        <scheme val="minor"/>
      </rPr>
      <t>女</t>
    </r>
    <r>
      <rPr>
        <sz val="12"/>
        <rFont val="Times New Roman"/>
        <family val="1"/>
      </rPr>
      <t xml:space="preserve">         </t>
    </r>
    <phoneticPr fontId="37" type="noConversion"/>
  </si>
  <si>
    <r>
      <rPr>
        <sz val="12"/>
        <color theme="1"/>
        <rFont val="新細明體"/>
        <family val="2"/>
        <charset val="136"/>
        <scheme val="minor"/>
      </rPr>
      <t>男</t>
    </r>
    <r>
      <rPr>
        <sz val="12"/>
        <rFont val="Times New Roman"/>
        <family val="1"/>
      </rPr>
      <t xml:space="preserve">           </t>
    </r>
    <phoneticPr fontId="37" type="noConversion"/>
  </si>
  <si>
    <t>計</t>
    <phoneticPr fontId="37" type="noConversion"/>
  </si>
  <si>
    <r>
      <rPr>
        <sz val="12"/>
        <color theme="1"/>
        <rFont val="新細明體"/>
        <family val="2"/>
        <charset val="136"/>
        <scheme val="minor"/>
      </rPr>
      <t>羈押少年</t>
    </r>
    <phoneticPr fontId="37" type="noConversion"/>
  </si>
  <si>
    <t>收容少年</t>
    <phoneticPr fontId="37" type="noConversion"/>
  </si>
  <si>
    <t>計</t>
    <phoneticPr fontId="2" type="noConversion"/>
  </si>
  <si>
    <t>總計</t>
  </si>
  <si>
    <r>
      <t>110</t>
    </r>
    <r>
      <rPr>
        <sz val="12"/>
        <rFont val="PMingLiU"/>
        <family val="1"/>
        <charset val="136"/>
      </rPr>
      <t>年</t>
    </r>
    <phoneticPr fontId="2" type="noConversion"/>
  </si>
  <si>
    <t>資料來源：法務部統計處。</t>
  </si>
  <si>
    <r>
      <rPr>
        <sz val="12"/>
        <color theme="1"/>
        <rFont val="新細明體"/>
        <family val="2"/>
        <charset val="136"/>
        <scheme val="minor"/>
      </rPr>
      <t>人</t>
    </r>
    <phoneticPr fontId="37" type="noConversion"/>
  </si>
  <si>
    <r>
      <t>18</t>
    </r>
    <r>
      <rPr>
        <sz val="12"/>
        <color theme="1"/>
        <rFont val="新細明體"/>
        <family val="2"/>
        <charset val="136"/>
        <scheme val="minor"/>
      </rPr>
      <t>歲以上</t>
    </r>
    <r>
      <rPr>
        <sz val="12"/>
        <rFont val="Times New Roman"/>
        <family val="1"/>
      </rPr>
      <t xml:space="preserve">  </t>
    </r>
    <phoneticPr fontId="37" type="noConversion"/>
  </si>
  <si>
    <r>
      <t>17</t>
    </r>
    <r>
      <rPr>
        <sz val="12"/>
        <color theme="1"/>
        <rFont val="新細明體"/>
        <family val="2"/>
        <charset val="136"/>
        <scheme val="minor"/>
      </rPr>
      <t>歲以上</t>
    </r>
    <r>
      <rPr>
        <sz val="12"/>
        <rFont val="Times New Roman"/>
        <family val="1"/>
      </rPr>
      <t>18</t>
    </r>
    <r>
      <rPr>
        <sz val="12"/>
        <color theme="1"/>
        <rFont val="新細明體"/>
        <family val="2"/>
        <charset val="136"/>
        <scheme val="minor"/>
      </rPr>
      <t>歲未滿</t>
    </r>
    <r>
      <rPr>
        <sz val="12"/>
        <rFont val="Times New Roman"/>
        <family val="1"/>
      </rPr>
      <t xml:space="preserve">      </t>
    </r>
    <phoneticPr fontId="2" type="noConversion"/>
  </si>
  <si>
    <r>
      <t>16</t>
    </r>
    <r>
      <rPr>
        <sz val="12"/>
        <color theme="1"/>
        <rFont val="新細明體"/>
        <family val="2"/>
        <charset val="136"/>
        <scheme val="minor"/>
      </rPr>
      <t>歲以上</t>
    </r>
    <r>
      <rPr>
        <sz val="12"/>
        <rFont val="Times New Roman"/>
        <family val="1"/>
      </rPr>
      <t>17</t>
    </r>
    <r>
      <rPr>
        <sz val="12"/>
        <color theme="1"/>
        <rFont val="新細明體"/>
        <family val="2"/>
        <charset val="136"/>
        <scheme val="minor"/>
      </rPr>
      <t>歲未滿</t>
    </r>
    <r>
      <rPr>
        <sz val="12"/>
        <rFont val="Times New Roman"/>
        <family val="1"/>
      </rPr>
      <t xml:space="preserve">      </t>
    </r>
    <phoneticPr fontId="2" type="noConversion"/>
  </si>
  <si>
    <r>
      <t>15</t>
    </r>
    <r>
      <rPr>
        <sz val="12"/>
        <color theme="1"/>
        <rFont val="新細明體"/>
        <family val="2"/>
        <charset val="136"/>
        <scheme val="minor"/>
      </rPr>
      <t>歲以上</t>
    </r>
    <r>
      <rPr>
        <sz val="12"/>
        <rFont val="Times New Roman"/>
        <family val="1"/>
      </rPr>
      <t>16</t>
    </r>
    <r>
      <rPr>
        <sz val="12"/>
        <color theme="1"/>
        <rFont val="新細明體"/>
        <family val="2"/>
        <charset val="136"/>
        <scheme val="minor"/>
      </rPr>
      <t>歲未滿</t>
    </r>
    <r>
      <rPr>
        <sz val="12"/>
        <rFont val="Times New Roman"/>
        <family val="1"/>
      </rPr>
      <t xml:space="preserve">    </t>
    </r>
    <phoneticPr fontId="2" type="noConversion"/>
  </si>
  <si>
    <r>
      <t>14</t>
    </r>
    <r>
      <rPr>
        <sz val="12"/>
        <color theme="1"/>
        <rFont val="新細明體"/>
        <family val="2"/>
        <charset val="136"/>
        <scheme val="minor"/>
      </rPr>
      <t>歲以上</t>
    </r>
    <r>
      <rPr>
        <sz val="12"/>
        <rFont val="Times New Roman"/>
        <family val="1"/>
      </rPr>
      <t>15</t>
    </r>
    <r>
      <rPr>
        <sz val="12"/>
        <color theme="1"/>
        <rFont val="新細明體"/>
        <family val="2"/>
        <charset val="136"/>
        <scheme val="minor"/>
      </rPr>
      <t>歲未滿</t>
    </r>
    <r>
      <rPr>
        <sz val="12"/>
        <rFont val="Times New Roman"/>
        <family val="1"/>
      </rPr>
      <t xml:space="preserve">       </t>
    </r>
    <phoneticPr fontId="2" type="noConversion"/>
  </si>
  <si>
    <r>
      <t>13</t>
    </r>
    <r>
      <rPr>
        <sz val="12"/>
        <color theme="1"/>
        <rFont val="新細明體"/>
        <family val="2"/>
        <charset val="136"/>
        <scheme val="minor"/>
      </rPr>
      <t>歲以上</t>
    </r>
    <r>
      <rPr>
        <sz val="12"/>
        <rFont val="Times New Roman"/>
        <family val="1"/>
      </rPr>
      <t>14</t>
    </r>
    <r>
      <rPr>
        <sz val="12"/>
        <color theme="1"/>
        <rFont val="新細明體"/>
        <family val="2"/>
        <charset val="136"/>
        <scheme val="minor"/>
      </rPr>
      <t>歲未滿</t>
    </r>
    <r>
      <rPr>
        <sz val="12"/>
        <rFont val="Times New Roman"/>
        <family val="1"/>
      </rPr>
      <t xml:space="preserve">        </t>
    </r>
    <phoneticPr fontId="2" type="noConversion"/>
  </si>
  <si>
    <r>
      <t>12</t>
    </r>
    <r>
      <rPr>
        <sz val="12"/>
        <color theme="1"/>
        <rFont val="新細明體"/>
        <family val="2"/>
        <charset val="136"/>
        <scheme val="minor"/>
      </rPr>
      <t>歲以上</t>
    </r>
    <r>
      <rPr>
        <sz val="12"/>
        <rFont val="Times New Roman"/>
        <family val="1"/>
      </rPr>
      <t>13</t>
    </r>
    <r>
      <rPr>
        <sz val="12"/>
        <color theme="1"/>
        <rFont val="新細明體"/>
        <family val="2"/>
        <charset val="136"/>
        <scheme val="minor"/>
      </rPr>
      <t>歲未滿</t>
    </r>
    <r>
      <rPr>
        <sz val="12"/>
        <rFont val="Times New Roman"/>
        <family val="1"/>
      </rPr>
      <t xml:space="preserve">    </t>
    </r>
    <phoneticPr fontId="2" type="noConversion"/>
  </si>
  <si>
    <r>
      <t>12</t>
    </r>
    <r>
      <rPr>
        <sz val="12"/>
        <color theme="1"/>
        <rFont val="新細明體"/>
        <family val="2"/>
        <charset val="136"/>
        <scheme val="minor"/>
      </rPr>
      <t>歲未滿</t>
    </r>
    <phoneticPr fontId="37" type="noConversion"/>
  </si>
  <si>
    <r>
      <rPr>
        <sz val="12"/>
        <color theme="1"/>
        <rFont val="新細明體"/>
        <family val="2"/>
        <charset val="136"/>
        <scheme val="minor"/>
      </rPr>
      <t>總計</t>
    </r>
    <phoneticPr fontId="37" type="noConversion"/>
  </si>
  <si>
    <r>
      <rPr>
        <sz val="12"/>
        <color theme="1"/>
        <rFont val="新細明體"/>
        <family val="2"/>
        <charset val="136"/>
        <scheme val="minor"/>
      </rPr>
      <t>女</t>
    </r>
    <phoneticPr fontId="37" type="noConversion"/>
  </si>
  <si>
    <r>
      <rPr>
        <sz val="12"/>
        <color theme="1"/>
        <rFont val="新細明體"/>
        <family val="2"/>
        <charset val="136"/>
        <scheme val="minor"/>
      </rPr>
      <t>男</t>
    </r>
    <phoneticPr fontId="37" type="noConversion"/>
  </si>
  <si>
    <r>
      <rPr>
        <sz val="12"/>
        <color theme="1"/>
        <rFont val="新細明體"/>
        <family val="2"/>
        <charset val="136"/>
        <scheme val="minor"/>
      </rPr>
      <t>計</t>
    </r>
    <phoneticPr fontId="37" type="noConversion"/>
  </si>
  <si>
    <r>
      <rPr>
        <sz val="12"/>
        <color theme="1"/>
        <rFont val="新細明體"/>
        <family val="2"/>
        <charset val="136"/>
        <scheme val="minor"/>
      </rPr>
      <t>不詳</t>
    </r>
    <phoneticPr fontId="37" type="noConversion"/>
  </si>
  <si>
    <t>不識字</t>
  </si>
  <si>
    <t xml:space="preserve">大專以上    </t>
  </si>
  <si>
    <t xml:space="preserve">國小         </t>
  </si>
  <si>
    <t xml:space="preserve">國中       </t>
  </si>
  <si>
    <t xml:space="preserve">高中(職)     </t>
  </si>
  <si>
    <r>
      <rPr>
        <sz val="12"/>
        <color theme="1"/>
        <rFont val="新細明體"/>
        <family val="2"/>
        <charset val="136"/>
        <scheme val="minor"/>
      </rPr>
      <t>總計</t>
    </r>
    <r>
      <rPr>
        <sz val="12"/>
        <rFont val="Times New Roman"/>
        <family val="1"/>
      </rPr>
      <t xml:space="preserve"> </t>
    </r>
  </si>
  <si>
    <r>
      <rPr>
        <sz val="12"/>
        <color theme="1"/>
        <rFont val="新細明體"/>
        <family val="2"/>
        <charset val="136"/>
        <scheme val="minor"/>
      </rPr>
      <t>不詳</t>
    </r>
  </si>
  <si>
    <r>
      <rPr>
        <sz val="12"/>
        <color theme="1"/>
        <rFont val="新細明體"/>
        <family val="2"/>
        <charset val="136"/>
        <scheme val="minor"/>
      </rPr>
      <t>中產以上</t>
    </r>
  </si>
  <si>
    <r>
      <rPr>
        <sz val="12"/>
        <color theme="1"/>
        <rFont val="新細明體"/>
        <family val="2"/>
        <charset val="136"/>
        <scheme val="minor"/>
      </rPr>
      <t>貧困無以維生</t>
    </r>
  </si>
  <si>
    <r>
      <rPr>
        <sz val="12"/>
        <color theme="1"/>
        <rFont val="新細明體"/>
        <family val="2"/>
        <charset val="136"/>
        <scheme val="minor"/>
      </rPr>
      <t>小康之家</t>
    </r>
  </si>
  <si>
    <r>
      <rPr>
        <sz val="12"/>
        <color theme="1"/>
        <rFont val="新細明體"/>
        <family val="2"/>
        <charset val="136"/>
        <scheme val="minor"/>
      </rPr>
      <t>勉足維持生活</t>
    </r>
  </si>
  <si>
    <r>
      <rPr>
        <sz val="10"/>
        <rFont val="新細明體"/>
        <family val="1"/>
        <charset val="136"/>
      </rPr>
      <t>　　　　　</t>
    </r>
    <r>
      <rPr>
        <sz val="10"/>
        <rFont val="Times New Roman"/>
        <family val="1"/>
      </rPr>
      <t xml:space="preserve">2. </t>
    </r>
    <r>
      <rPr>
        <sz val="10"/>
        <rFont val="新細明體"/>
        <family val="1"/>
        <charset val="136"/>
      </rPr>
      <t>因應少年事件處理法部分條文修正，原虞犯行為停止適用，改為曝險行為。</t>
    </r>
    <phoneticPr fontId="37" type="noConversion"/>
  </si>
  <si>
    <r>
      <rPr>
        <sz val="10"/>
        <rFont val="新細明體"/>
        <family val="1"/>
        <charset val="136"/>
      </rPr>
      <t>說　　明：</t>
    </r>
    <r>
      <rPr>
        <sz val="10"/>
        <rFont val="Times New Roman"/>
        <family val="1"/>
      </rPr>
      <t xml:space="preserve">1. </t>
    </r>
    <r>
      <rPr>
        <sz val="10"/>
        <rFont val="新細明體"/>
        <family val="1"/>
        <charset val="136"/>
      </rPr>
      <t>本表不含待執行感化教育、留置觀察及保護管束之少年人數。</t>
    </r>
    <phoneticPr fontId="37" type="noConversion"/>
  </si>
  <si>
    <r>
      <rPr>
        <sz val="12"/>
        <color theme="1"/>
        <rFont val="新細明體"/>
        <family val="2"/>
        <charset val="136"/>
      </rPr>
      <t>人</t>
    </r>
    <phoneticPr fontId="37" type="noConversion"/>
  </si>
  <si>
    <r>
      <rPr>
        <sz val="12"/>
        <color theme="1"/>
        <rFont val="新細明體"/>
        <family val="2"/>
        <charset val="136"/>
      </rPr>
      <t>曝險行為</t>
    </r>
    <phoneticPr fontId="37" type="noConversion"/>
  </si>
  <si>
    <r>
      <rPr>
        <sz val="12"/>
        <color theme="1"/>
        <rFont val="新細明體"/>
        <family val="2"/>
        <charset val="136"/>
      </rPr>
      <t>其他罪名</t>
    </r>
    <phoneticPr fontId="37" type="noConversion"/>
  </si>
  <si>
    <r>
      <rPr>
        <sz val="12"/>
        <color theme="1"/>
        <rFont val="新細明體"/>
        <family val="1"/>
        <charset val="136"/>
      </rPr>
      <t>贓物罪</t>
    </r>
  </si>
  <si>
    <t>搶奪罪</t>
  </si>
  <si>
    <t>強盜及海盜罪</t>
  </si>
  <si>
    <t>恐嚇及擄人勒贖罪</t>
  </si>
  <si>
    <r>
      <rPr>
        <sz val="12"/>
        <color theme="1"/>
        <rFont val="新細明體"/>
        <family val="2"/>
        <charset val="136"/>
      </rPr>
      <t>妨害性自主
及妨害風化罪</t>
    </r>
  </si>
  <si>
    <r>
      <rPr>
        <sz val="12"/>
        <color theme="1"/>
        <rFont val="新細明體"/>
        <family val="2"/>
        <charset val="136"/>
      </rPr>
      <t>總計</t>
    </r>
    <r>
      <rPr>
        <sz val="12"/>
        <rFont val="Times New Roman"/>
        <family val="1"/>
      </rPr>
      <t xml:space="preserve"> </t>
    </r>
  </si>
  <si>
    <r>
      <rPr>
        <sz val="12"/>
        <color theme="1"/>
        <rFont val="新細明體"/>
        <family val="2"/>
        <charset val="136"/>
      </rPr>
      <t>女</t>
    </r>
    <phoneticPr fontId="37" type="noConversion"/>
  </si>
  <si>
    <r>
      <rPr>
        <sz val="12"/>
        <color theme="1"/>
        <rFont val="新細明體"/>
        <family val="2"/>
        <charset val="136"/>
      </rPr>
      <t>男</t>
    </r>
    <phoneticPr fontId="37" type="noConversion"/>
  </si>
  <si>
    <r>
      <rPr>
        <sz val="12"/>
        <color theme="1"/>
        <rFont val="新細明體"/>
        <family val="2"/>
        <charset val="136"/>
      </rPr>
      <t>計</t>
    </r>
    <phoneticPr fontId="37" type="noConversion"/>
  </si>
  <si>
    <t>誠正中學</t>
  </si>
  <si>
    <t>敦品中學</t>
  </si>
  <si>
    <t>勵志中學</t>
  </si>
  <si>
    <r>
      <rPr>
        <sz val="12"/>
        <color theme="1"/>
        <rFont val="新細明體"/>
        <family val="2"/>
        <charset val="136"/>
        <scheme val="minor"/>
      </rPr>
      <t>總計</t>
    </r>
  </si>
  <si>
    <t xml:space="preserve">  %</t>
  </si>
  <si>
    <r>
      <t xml:space="preserve">  </t>
    </r>
    <r>
      <rPr>
        <sz val="12"/>
        <color theme="1"/>
        <rFont val="新細明體"/>
        <family val="2"/>
        <charset val="136"/>
        <scheme val="minor"/>
      </rPr>
      <t>人</t>
    </r>
  </si>
  <si>
    <r>
      <rPr>
        <sz val="10"/>
        <rFont val="細明體"/>
        <family val="3"/>
        <charset val="136"/>
      </rPr>
      <t>說　　明：</t>
    </r>
    <r>
      <rPr>
        <sz val="10"/>
        <rFont val="Times New Roman"/>
        <family val="1"/>
      </rPr>
      <t>1.</t>
    </r>
    <r>
      <rPr>
        <sz val="10"/>
        <rFont val="細明體"/>
        <family val="3"/>
        <charset val="136"/>
      </rPr>
      <t>因少年輔育院自</t>
    </r>
    <r>
      <rPr>
        <sz val="10"/>
        <rFont val="Times New Roman"/>
        <family val="1"/>
      </rPr>
      <t>110</t>
    </r>
    <r>
      <rPr>
        <sz val="10"/>
        <rFont val="細明體"/>
        <family val="3"/>
        <charset val="136"/>
      </rPr>
      <t>年</t>
    </r>
    <r>
      <rPr>
        <sz val="10"/>
        <rFont val="Times New Roman"/>
        <family val="1"/>
      </rPr>
      <t>8</t>
    </r>
    <r>
      <rPr>
        <sz val="10"/>
        <rFont val="細明體"/>
        <family val="3"/>
        <charset val="136"/>
      </rPr>
      <t>月後更名為矯正學校，爰整併本表少年輔育院、少年矯正學校用語為「少年矯正學校」。
　　　　　</t>
    </r>
    <r>
      <rPr>
        <sz val="10"/>
        <rFont val="Times New Roman"/>
        <family val="1"/>
      </rPr>
      <t>2.110</t>
    </r>
    <r>
      <rPr>
        <sz val="10"/>
        <rFont val="細明體"/>
        <family val="3"/>
        <charset val="136"/>
      </rPr>
      <t>年</t>
    </r>
    <r>
      <rPr>
        <sz val="10"/>
        <rFont val="Times New Roman"/>
        <family val="1"/>
      </rPr>
      <t>8</t>
    </r>
    <r>
      <rPr>
        <sz val="10"/>
        <rFont val="細明體"/>
        <family val="3"/>
        <charset val="136"/>
      </rPr>
      <t>月</t>
    </r>
    <r>
      <rPr>
        <sz val="10"/>
        <rFont val="Times New Roman"/>
        <family val="1"/>
      </rPr>
      <t>1</t>
    </r>
    <r>
      <rPr>
        <sz val="10"/>
        <rFont val="細明體"/>
        <family val="3"/>
        <charset val="136"/>
      </rPr>
      <t>日起，桃園少年輔育院及彰化少年輔育院改制為敦品中學及勵志中學。本表含改制前之桃園少年輔育院及彰化少年輔育院收容受感化教育學生。</t>
    </r>
    <phoneticPr fontId="2" type="noConversion"/>
  </si>
  <si>
    <r>
      <rPr>
        <sz val="12"/>
        <color theme="1"/>
        <rFont val="新細明體"/>
        <family val="2"/>
        <charset val="136"/>
        <scheme val="minor"/>
      </rPr>
      <t>不識字</t>
    </r>
    <phoneticPr fontId="37" type="noConversion"/>
  </si>
  <si>
    <r>
      <rPr>
        <sz val="12"/>
        <color theme="1"/>
        <rFont val="新細明體"/>
        <family val="2"/>
        <charset val="136"/>
        <scheme val="minor"/>
      </rPr>
      <t>國小</t>
    </r>
    <r>
      <rPr>
        <sz val="12"/>
        <rFont val="Times New Roman"/>
        <family val="1"/>
      </rPr>
      <t xml:space="preserve"> </t>
    </r>
    <phoneticPr fontId="37" type="noConversion"/>
  </si>
  <si>
    <r>
      <rPr>
        <sz val="12"/>
        <color theme="1"/>
        <rFont val="新細明體"/>
        <family val="2"/>
        <charset val="136"/>
        <scheme val="minor"/>
      </rPr>
      <t>職業學校</t>
    </r>
    <phoneticPr fontId="37" type="noConversion"/>
  </si>
  <si>
    <r>
      <rPr>
        <sz val="12"/>
        <color theme="1"/>
        <rFont val="新細明體"/>
        <family val="2"/>
        <charset val="136"/>
        <scheme val="minor"/>
      </rPr>
      <t>國中</t>
    </r>
    <phoneticPr fontId="37" type="noConversion"/>
  </si>
  <si>
    <r>
      <rPr>
        <sz val="12"/>
        <color theme="1"/>
        <rFont val="新細明體"/>
        <family val="2"/>
        <charset val="136"/>
        <scheme val="minor"/>
      </rPr>
      <t>高中</t>
    </r>
    <phoneticPr fontId="37" type="noConversion"/>
  </si>
  <si>
    <t>%</t>
    <phoneticPr fontId="37" type="noConversion"/>
  </si>
  <si>
    <r>
      <rPr>
        <sz val="12"/>
        <color theme="1"/>
        <rFont val="新細明體"/>
        <family val="2"/>
        <charset val="136"/>
        <scheme val="minor"/>
      </rPr>
      <t>總計</t>
    </r>
    <r>
      <rPr>
        <sz val="12"/>
        <rFont val="Times New Roman"/>
        <family val="1"/>
      </rPr>
      <t xml:space="preserve">   </t>
    </r>
    <phoneticPr fontId="37" type="noConversion"/>
  </si>
  <si>
    <r>
      <rPr>
        <sz val="12"/>
        <color theme="1"/>
        <rFont val="新細明體"/>
        <family val="2"/>
        <charset val="136"/>
      </rPr>
      <t>富裕</t>
    </r>
    <r>
      <rPr>
        <sz val="12"/>
        <rFont val="Times New Roman"/>
        <family val="1"/>
      </rPr>
      <t xml:space="preserve"> </t>
    </r>
    <phoneticPr fontId="37" type="noConversion"/>
  </si>
  <si>
    <r>
      <rPr>
        <sz val="12"/>
        <color theme="1"/>
        <rFont val="新細明體"/>
        <family val="2"/>
        <charset val="136"/>
      </rPr>
      <t>貧困</t>
    </r>
    <phoneticPr fontId="37" type="noConversion"/>
  </si>
  <si>
    <r>
      <rPr>
        <sz val="12"/>
        <color theme="1"/>
        <rFont val="新細明體"/>
        <family val="2"/>
        <charset val="136"/>
      </rPr>
      <t>普通</t>
    </r>
    <r>
      <rPr>
        <sz val="12"/>
        <rFont val="Times New Roman"/>
        <family val="1"/>
      </rPr>
      <t xml:space="preserve"> </t>
    </r>
    <phoneticPr fontId="37" type="noConversion"/>
  </si>
  <si>
    <r>
      <rPr>
        <sz val="12"/>
        <color theme="1"/>
        <rFont val="新細明體"/>
        <family val="2"/>
        <charset val="136"/>
      </rPr>
      <t>總計</t>
    </r>
    <phoneticPr fontId="37" type="noConversion"/>
  </si>
  <si>
    <r>
      <rPr>
        <sz val="12"/>
        <color theme="1"/>
        <rFont val="新細明體"/>
        <family val="2"/>
        <charset val="136"/>
      </rPr>
      <t>其他罪名</t>
    </r>
    <r>
      <rPr>
        <sz val="12"/>
        <rFont val="Times New Roman"/>
        <family val="1"/>
      </rPr>
      <t xml:space="preserve">             </t>
    </r>
    <phoneticPr fontId="37" type="noConversion"/>
  </si>
  <si>
    <t xml:space="preserve">強盜及海盜罪                 </t>
  </si>
  <si>
    <t xml:space="preserve">槍砲彈藥刀械管制條例   </t>
  </si>
  <si>
    <t xml:space="preserve">搶奪罪            </t>
  </si>
  <si>
    <t xml:space="preserve">殺人罪             </t>
  </si>
  <si>
    <t xml:space="preserve">妨害自由罪             </t>
  </si>
  <si>
    <t xml:space="preserve">恐嚇取財得利罪                </t>
  </si>
  <si>
    <t xml:space="preserve">竊盜罪             </t>
  </si>
  <si>
    <t xml:space="preserve">毒品危害防制條例          </t>
  </si>
  <si>
    <t xml:space="preserve">傷害罪            </t>
  </si>
  <si>
    <t xml:space="preserve">詐欺罪            </t>
  </si>
  <si>
    <r>
      <rPr>
        <sz val="12"/>
        <color theme="1"/>
        <rFont val="新細明體"/>
        <family val="2"/>
        <charset val="136"/>
      </rPr>
      <t>總計</t>
    </r>
    <r>
      <rPr>
        <sz val="12"/>
        <rFont val="Times New Roman"/>
        <family val="1"/>
      </rPr>
      <t xml:space="preserve">               </t>
    </r>
    <phoneticPr fontId="37" type="noConversion"/>
  </si>
  <si>
    <t xml:space="preserve"> %</t>
  </si>
  <si>
    <r>
      <t xml:space="preserve"> </t>
    </r>
    <r>
      <rPr>
        <sz val="12"/>
        <color theme="1"/>
        <rFont val="新細明體"/>
        <family val="2"/>
        <charset val="136"/>
        <scheme val="minor"/>
      </rPr>
      <t>人</t>
    </r>
  </si>
  <si>
    <r>
      <rPr>
        <sz val="12"/>
        <color theme="1"/>
        <rFont val="新細明體"/>
        <family val="2"/>
        <charset val="136"/>
        <scheme val="minor"/>
      </rPr>
      <t>　　　女</t>
    </r>
    <r>
      <rPr>
        <sz val="12"/>
        <rFont val="Times New Roman"/>
        <family val="1"/>
      </rPr>
      <t xml:space="preserve">         </t>
    </r>
  </si>
  <si>
    <r>
      <rPr>
        <sz val="12"/>
        <color theme="1"/>
        <rFont val="新細明體"/>
        <family val="2"/>
        <charset val="136"/>
        <scheme val="minor"/>
      </rPr>
      <t>　　　男</t>
    </r>
    <r>
      <rPr>
        <sz val="12"/>
        <rFont val="Times New Roman"/>
        <family val="1"/>
      </rPr>
      <t xml:space="preserve">           </t>
    </r>
  </si>
  <si>
    <r>
      <t>111</t>
    </r>
    <r>
      <rPr>
        <sz val="12"/>
        <rFont val="PMingLiU"/>
        <family val="1"/>
        <charset val="136"/>
      </rPr>
      <t>年底</t>
    </r>
    <phoneticPr fontId="2" type="noConversion"/>
  </si>
  <si>
    <r>
      <t>110</t>
    </r>
    <r>
      <rPr>
        <sz val="12"/>
        <rFont val="PMingLiU"/>
        <family val="1"/>
        <charset val="136"/>
      </rPr>
      <t>年底</t>
    </r>
    <phoneticPr fontId="2" type="noConversion"/>
  </si>
  <si>
    <r>
      <t>109</t>
    </r>
    <r>
      <rPr>
        <sz val="12"/>
        <rFont val="PMingLiU"/>
        <family val="1"/>
        <charset val="136"/>
      </rPr>
      <t>年底</t>
    </r>
    <phoneticPr fontId="2" type="noConversion"/>
  </si>
  <si>
    <r>
      <t>108</t>
    </r>
    <r>
      <rPr>
        <sz val="12"/>
        <rFont val="PMingLiU"/>
        <family val="1"/>
        <charset val="136"/>
      </rPr>
      <t>年底</t>
    </r>
    <phoneticPr fontId="2" type="noConversion"/>
  </si>
  <si>
    <r>
      <rPr>
        <sz val="15"/>
        <color theme="1"/>
        <rFont val="新細明體"/>
        <family val="1"/>
        <charset val="136"/>
      </rPr>
      <t>表</t>
    </r>
    <r>
      <rPr>
        <sz val="15"/>
        <color theme="1"/>
        <rFont val="Times New Roman"/>
        <family val="1"/>
      </rPr>
      <t xml:space="preserve">3-1-1 </t>
    </r>
    <r>
      <rPr>
        <sz val="15"/>
        <color theme="1"/>
        <rFont val="新細明體"/>
        <family val="1"/>
        <charset val="136"/>
      </rPr>
      <t>　近</t>
    </r>
    <r>
      <rPr>
        <sz val="15"/>
        <color theme="1"/>
        <rFont val="Times New Roman"/>
        <family val="1"/>
      </rPr>
      <t>10</t>
    </r>
    <r>
      <rPr>
        <sz val="15"/>
        <color theme="1"/>
        <rFont val="新細明體"/>
        <family val="1"/>
        <charset val="136"/>
      </rPr>
      <t>年少年犯罪嫌疑人數與犯罪人口率</t>
    </r>
    <phoneticPr fontId="3" type="noConversion"/>
  </si>
  <si>
    <r>
      <rPr>
        <sz val="10"/>
        <color theme="1"/>
        <rFont val="新細明體"/>
        <family val="1"/>
        <charset val="136"/>
      </rPr>
      <t>單位：人、人</t>
    </r>
    <r>
      <rPr>
        <sz val="10"/>
        <color theme="1"/>
        <rFont val="Times New Roman"/>
        <family val="1"/>
      </rPr>
      <t>/10</t>
    </r>
    <r>
      <rPr>
        <sz val="10"/>
        <color theme="1"/>
        <rFont val="新細明體"/>
        <family val="1"/>
        <charset val="136"/>
      </rPr>
      <t>萬人</t>
    </r>
    <phoneticPr fontId="3" type="noConversion"/>
  </si>
  <si>
    <r>
      <rPr>
        <sz val="12"/>
        <color theme="1"/>
        <rFont val="新細明體"/>
        <family val="1"/>
        <charset val="136"/>
      </rPr>
      <t>少</t>
    </r>
    <r>
      <rPr>
        <sz val="12"/>
        <color theme="1"/>
        <rFont val="Times New Roman"/>
        <family val="1"/>
      </rPr>
      <t xml:space="preserve">    </t>
    </r>
    <r>
      <rPr>
        <sz val="12"/>
        <color theme="1"/>
        <rFont val="新細明體"/>
        <family val="1"/>
        <charset val="136"/>
      </rPr>
      <t>年</t>
    </r>
    <phoneticPr fontId="3" type="noConversion"/>
  </si>
  <si>
    <r>
      <rPr>
        <sz val="12"/>
        <color theme="1"/>
        <rFont val="新細明體"/>
        <family val="1"/>
        <charset val="136"/>
      </rPr>
      <t>成</t>
    </r>
    <r>
      <rPr>
        <sz val="12"/>
        <color theme="1"/>
        <rFont val="Times New Roman"/>
        <family val="1"/>
      </rPr>
      <t xml:space="preserve">    </t>
    </r>
    <r>
      <rPr>
        <sz val="12"/>
        <color theme="1"/>
        <rFont val="新細明體"/>
        <family val="1"/>
        <charset val="136"/>
      </rPr>
      <t>年</t>
    </r>
    <r>
      <rPr>
        <sz val="12"/>
        <color theme="1"/>
        <rFont val="Times New Roman"/>
        <family val="1"/>
      </rPr>
      <t/>
    </r>
    <phoneticPr fontId="3" type="noConversion"/>
  </si>
  <si>
    <t>年中人口數</t>
    <phoneticPr fontId="3" type="noConversion"/>
  </si>
  <si>
    <r>
      <rPr>
        <sz val="10"/>
        <color theme="1"/>
        <rFont val="新細明體"/>
        <family val="1"/>
        <charset val="136"/>
      </rPr>
      <t>犯罪嫌疑人數</t>
    </r>
    <r>
      <rPr>
        <sz val="10"/>
        <color theme="1"/>
        <rFont val="Times New Roman"/>
        <family val="1"/>
      </rPr>
      <t xml:space="preserve">  </t>
    </r>
    <phoneticPr fontId="3" type="noConversion"/>
  </si>
  <si>
    <r>
      <rPr>
        <sz val="10"/>
        <color theme="1"/>
        <rFont val="新細明體"/>
        <family val="1"/>
        <charset val="136"/>
      </rPr>
      <t>犯罪人口率</t>
    </r>
    <phoneticPr fontId="3" type="noConversion"/>
  </si>
  <si>
    <r>
      <rPr>
        <sz val="10"/>
        <color theme="1"/>
        <rFont val="新細明體"/>
        <family val="1"/>
        <charset val="136"/>
      </rPr>
      <t>犯罪嫌疑人數</t>
    </r>
    <phoneticPr fontId="3" type="noConversion"/>
  </si>
  <si>
    <r>
      <t>103年</t>
    </r>
    <r>
      <rPr>
        <sz val="12"/>
        <rFont val="細明體"/>
        <family val="3"/>
        <charset val="136"/>
      </rPr>
      <t/>
    </r>
  </si>
  <si>
    <r>
      <t>104年</t>
    </r>
    <r>
      <rPr>
        <sz val="12"/>
        <rFont val="細明體"/>
        <family val="3"/>
        <charset val="136"/>
      </rPr>
      <t/>
    </r>
  </si>
  <si>
    <r>
      <t>105年</t>
    </r>
    <r>
      <rPr>
        <sz val="12"/>
        <rFont val="細明體"/>
        <family val="3"/>
        <charset val="136"/>
      </rPr>
      <t/>
    </r>
  </si>
  <si>
    <r>
      <t>106年</t>
    </r>
    <r>
      <rPr>
        <sz val="12"/>
        <rFont val="細明體"/>
        <family val="3"/>
        <charset val="136"/>
      </rPr>
      <t/>
    </r>
  </si>
  <si>
    <r>
      <t>107年</t>
    </r>
    <r>
      <rPr>
        <sz val="12"/>
        <rFont val="細明體"/>
        <family val="3"/>
        <charset val="136"/>
      </rPr>
      <t/>
    </r>
  </si>
  <si>
    <r>
      <t>108年</t>
    </r>
    <r>
      <rPr>
        <sz val="12"/>
        <rFont val="細明體"/>
        <family val="3"/>
        <charset val="136"/>
      </rPr>
      <t/>
    </r>
  </si>
  <si>
    <r>
      <t>109年</t>
    </r>
    <r>
      <rPr>
        <sz val="12"/>
        <rFont val="細明體"/>
        <family val="3"/>
        <charset val="136"/>
      </rPr>
      <t/>
    </r>
  </si>
  <si>
    <r>
      <t>110年</t>
    </r>
    <r>
      <rPr>
        <sz val="12"/>
        <rFont val="細明體"/>
        <family val="3"/>
        <charset val="136"/>
      </rPr>
      <t/>
    </r>
  </si>
  <si>
    <t>資料來源：警政署刑事警察局、內政部歷年全國人口統計資料。</t>
    <phoneticPr fontId="3" type="noConversion"/>
  </si>
  <si>
    <r>
      <rPr>
        <sz val="10"/>
        <color theme="1"/>
        <rFont val="新細明體"/>
        <family val="1"/>
        <charset val="136"/>
      </rPr>
      <t>說　　明：</t>
    </r>
    <r>
      <rPr>
        <sz val="10"/>
        <color theme="1"/>
        <rFont val="Times New Roman"/>
        <family val="1"/>
      </rPr>
      <t xml:space="preserve">1. </t>
    </r>
    <r>
      <rPr>
        <sz val="10"/>
        <color theme="1"/>
        <rFont val="新細明體"/>
        <family val="1"/>
        <charset val="136"/>
      </rPr>
      <t>少年指</t>
    </r>
    <r>
      <rPr>
        <sz val="10"/>
        <color theme="1"/>
        <rFont val="Times New Roman"/>
        <family val="1"/>
      </rPr>
      <t>12</t>
    </r>
    <r>
      <rPr>
        <sz val="10"/>
        <color theme="1"/>
        <rFont val="新細明體"/>
        <family val="1"/>
        <charset val="136"/>
      </rPr>
      <t>歲以上</t>
    </r>
    <r>
      <rPr>
        <sz val="10"/>
        <color theme="1"/>
        <rFont val="Times New Roman"/>
        <family val="1"/>
      </rPr>
      <t>18</t>
    </r>
    <r>
      <rPr>
        <sz val="10"/>
        <color theme="1"/>
        <rFont val="新細明體"/>
        <family val="1"/>
        <charset val="136"/>
      </rPr>
      <t>歲未滿之人。
　　　　　</t>
    </r>
    <r>
      <rPr>
        <sz val="10"/>
        <color theme="1"/>
        <rFont val="Times New Roman"/>
        <family val="1"/>
      </rPr>
      <t xml:space="preserve">2. </t>
    </r>
    <r>
      <rPr>
        <sz val="10"/>
        <color theme="1"/>
        <rFont val="新細明體"/>
        <family val="1"/>
        <charset val="136"/>
      </rPr>
      <t>犯罪人口率</t>
    </r>
    <r>
      <rPr>
        <sz val="10"/>
        <color theme="1"/>
        <rFont val="Times New Roman"/>
        <family val="1"/>
      </rPr>
      <t>= (</t>
    </r>
    <r>
      <rPr>
        <sz val="10"/>
        <color theme="1"/>
        <rFont val="新細明體"/>
        <family val="1"/>
        <charset val="136"/>
      </rPr>
      <t>犯罪嫌疑人數</t>
    </r>
    <r>
      <rPr>
        <sz val="10"/>
        <color theme="1"/>
        <rFont val="Times New Roman"/>
        <family val="1"/>
      </rPr>
      <t xml:space="preserve"> / </t>
    </r>
    <r>
      <rPr>
        <sz val="10"/>
        <color theme="1"/>
        <rFont val="新細明體"/>
        <family val="1"/>
        <charset val="136"/>
      </rPr>
      <t>年中人口數</t>
    </r>
    <r>
      <rPr>
        <sz val="10"/>
        <color theme="1"/>
        <rFont val="Times New Roman"/>
        <family val="1"/>
      </rPr>
      <t>) * 100,000</t>
    </r>
    <r>
      <rPr>
        <sz val="10"/>
        <color theme="1"/>
        <rFont val="新細明體"/>
        <family val="1"/>
        <charset val="136"/>
      </rPr>
      <t>。</t>
    </r>
    <phoneticPr fontId="3" type="noConversion"/>
  </si>
  <si>
    <r>
      <rPr>
        <sz val="15"/>
        <color theme="1"/>
        <rFont val="新細明體"/>
        <family val="1"/>
        <charset val="136"/>
      </rPr>
      <t>表</t>
    </r>
    <r>
      <rPr>
        <sz val="15"/>
        <color theme="1"/>
        <rFont val="Times New Roman"/>
        <family val="1"/>
      </rPr>
      <t>3-1-2</t>
    </r>
    <r>
      <rPr>
        <sz val="15"/>
        <color theme="1"/>
        <rFont val="新細明體"/>
        <family val="1"/>
        <charset val="136"/>
      </rPr>
      <t>　近</t>
    </r>
    <r>
      <rPr>
        <sz val="15"/>
        <color theme="1"/>
        <rFont val="Times New Roman"/>
        <family val="1"/>
      </rPr>
      <t>10</t>
    </r>
    <r>
      <rPr>
        <sz val="15"/>
        <color theme="1"/>
        <rFont val="新細明體"/>
        <family val="1"/>
        <charset val="136"/>
      </rPr>
      <t>年少年嫌疑人之主要犯罪類別</t>
    </r>
    <phoneticPr fontId="3" type="noConversion"/>
  </si>
  <si>
    <r>
      <rPr>
        <sz val="10"/>
        <rFont val="新細明體"/>
        <family val="1"/>
        <charset val="136"/>
      </rPr>
      <t>人</t>
    </r>
    <phoneticPr fontId="3" type="noConversion"/>
  </si>
  <si>
    <t>妨害秩序</t>
  </si>
  <si>
    <t>竊盜</t>
  </si>
  <si>
    <t>妨害自由</t>
  </si>
  <si>
    <t>公共危險</t>
  </si>
  <si>
    <t>駕駛過失</t>
  </si>
  <si>
    <t>賭博</t>
  </si>
  <si>
    <t>妨害名譽</t>
  </si>
  <si>
    <t>毀棄損壞</t>
  </si>
  <si>
    <t>侵占</t>
  </si>
  <si>
    <t>恐嚇取財</t>
  </si>
  <si>
    <t>偽造文書印文</t>
  </si>
  <si>
    <t>妨害家庭及婚姻</t>
  </si>
  <si>
    <t>妨害電腦使用</t>
  </si>
  <si>
    <t>妨害秘密</t>
  </si>
  <si>
    <t>故意殺人</t>
  </si>
  <si>
    <t>妨害公務</t>
  </si>
  <si>
    <t>妨害風化</t>
  </si>
  <si>
    <t>重利</t>
  </si>
  <si>
    <t>強盜</t>
  </si>
  <si>
    <t>著作權法</t>
  </si>
  <si>
    <t>誣告</t>
  </si>
  <si>
    <t>搶奪</t>
  </si>
  <si>
    <t>過失致死</t>
  </si>
  <si>
    <t>遺棄</t>
  </si>
  <si>
    <t>贓物</t>
  </si>
  <si>
    <t>竊佔</t>
  </si>
  <si>
    <t>偽造有價證券</t>
  </si>
  <si>
    <t>偽證</t>
  </si>
  <si>
    <t>脫逃</t>
  </si>
  <si>
    <t>森林法</t>
  </si>
  <si>
    <t>藏匿頂替</t>
  </si>
  <si>
    <t>侵害墳墓屍體</t>
  </si>
  <si>
    <t>湮滅證據</t>
  </si>
  <si>
    <t>擄人勒贖</t>
  </si>
  <si>
    <r>
      <rPr>
        <sz val="10"/>
        <rFont val="新細明體"/>
        <family val="1"/>
        <charset val="136"/>
      </rPr>
      <t>說　　明：</t>
    </r>
    <r>
      <rPr>
        <sz val="10"/>
        <rFont val="Times New Roman"/>
        <family val="1"/>
      </rPr>
      <t xml:space="preserve">1. </t>
    </r>
    <r>
      <rPr>
        <sz val="10"/>
        <rFont val="新細明體"/>
        <family val="1"/>
        <charset val="136"/>
      </rPr>
      <t>移送檢察署事由含：犯最輕本刑為五年以上有期徒刑之罪、事件繫屬前已滿</t>
    </r>
    <r>
      <rPr>
        <sz val="10"/>
        <rFont val="Times New Roman"/>
        <family val="1"/>
      </rPr>
      <t>20</t>
    </r>
    <r>
      <rPr>
        <sz val="10"/>
        <rFont val="新細明體"/>
        <family val="1"/>
        <charset val="136"/>
      </rPr>
      <t>歲、犯罪情節重大。</t>
    </r>
    <phoneticPr fontId="3" type="noConversion"/>
  </si>
  <si>
    <r>
      <t xml:space="preserve">                  </t>
    </r>
    <r>
      <rPr>
        <sz val="12"/>
        <color theme="1"/>
        <rFont val="新細明體"/>
        <family val="2"/>
        <charset val="136"/>
        <scheme val="minor"/>
      </rPr>
      <t>事件繫屬前已滿</t>
    </r>
    <r>
      <rPr>
        <sz val="12"/>
        <color theme="1"/>
        <rFont val="新細明體"/>
        <family val="1"/>
        <scheme val="minor"/>
      </rPr>
      <t>20</t>
    </r>
    <r>
      <rPr>
        <sz val="12"/>
        <color theme="1"/>
        <rFont val="新細明體"/>
        <family val="2"/>
        <charset val="136"/>
        <scheme val="minor"/>
      </rPr>
      <t>歲</t>
    </r>
    <phoneticPr fontId="3" type="noConversion"/>
  </si>
  <si>
    <t>跟蹤騷擾防制法</t>
    <phoneticPr fontId="2" type="noConversion"/>
  </si>
  <si>
    <r>
      <rPr>
        <sz val="10"/>
        <rFont val="新細明體"/>
        <family val="1"/>
        <charset val="136"/>
      </rPr>
      <t>說　　明：</t>
    </r>
    <r>
      <rPr>
        <sz val="10"/>
        <rFont val="新細明體"/>
        <family val="1"/>
        <charset val="136"/>
      </rPr>
      <t>本表不包含未經個案調查人數及虞犯</t>
    </r>
    <r>
      <rPr>
        <sz val="10"/>
        <rFont val="Times New Roman"/>
        <family val="1"/>
      </rPr>
      <t>/</t>
    </r>
    <r>
      <rPr>
        <sz val="10"/>
        <rFont val="新細明體"/>
        <family val="1"/>
        <charset val="136"/>
      </rPr>
      <t>曝險少年。</t>
    </r>
    <r>
      <rPr>
        <sz val="10"/>
        <rFont val="Times New Roman"/>
        <family val="1"/>
      </rPr>
      <t/>
    </r>
    <phoneticPr fontId="3" type="noConversion"/>
  </si>
  <si>
    <r>
      <t>12</t>
    </r>
    <r>
      <rPr>
        <sz val="12"/>
        <color theme="1"/>
        <rFont val="新細明體"/>
        <family val="1"/>
        <charset val="136"/>
      </rPr>
      <t>歲以上</t>
    </r>
    <r>
      <rPr>
        <sz val="12"/>
        <color theme="1"/>
        <rFont val="Times New Roman"/>
        <family val="1"/>
      </rPr>
      <t>13</t>
    </r>
    <r>
      <rPr>
        <sz val="12"/>
        <color theme="1"/>
        <rFont val="新細明體"/>
        <family val="1"/>
        <charset val="136"/>
      </rPr>
      <t>歲未滿</t>
    </r>
    <phoneticPr fontId="37" type="noConversion"/>
  </si>
  <si>
    <r>
      <t>13</t>
    </r>
    <r>
      <rPr>
        <sz val="12"/>
        <color theme="1"/>
        <rFont val="新細明體"/>
        <family val="1"/>
        <charset val="136"/>
      </rPr>
      <t>歲以上</t>
    </r>
    <r>
      <rPr>
        <sz val="12"/>
        <color theme="1"/>
        <rFont val="Times New Roman"/>
        <family val="1"/>
      </rPr>
      <t>14</t>
    </r>
    <r>
      <rPr>
        <sz val="12"/>
        <color theme="1"/>
        <rFont val="新細明體"/>
        <family val="1"/>
        <charset val="136"/>
      </rPr>
      <t>歲未滿</t>
    </r>
    <phoneticPr fontId="3" type="noConversion"/>
  </si>
  <si>
    <r>
      <t>14</t>
    </r>
    <r>
      <rPr>
        <sz val="12"/>
        <color theme="1"/>
        <rFont val="新細明體"/>
        <family val="1"/>
        <charset val="136"/>
      </rPr>
      <t>歲以上</t>
    </r>
    <r>
      <rPr>
        <sz val="12"/>
        <color theme="1"/>
        <rFont val="Times New Roman"/>
        <family val="1"/>
      </rPr>
      <t>15</t>
    </r>
    <r>
      <rPr>
        <sz val="12"/>
        <color theme="1"/>
        <rFont val="新細明體"/>
        <family val="1"/>
        <charset val="136"/>
      </rPr>
      <t>歲未滿</t>
    </r>
    <phoneticPr fontId="3" type="noConversion"/>
  </si>
  <si>
    <r>
      <t>15</t>
    </r>
    <r>
      <rPr>
        <sz val="12"/>
        <color theme="1"/>
        <rFont val="新細明體"/>
        <family val="1"/>
        <charset val="136"/>
      </rPr>
      <t>歲以上</t>
    </r>
    <r>
      <rPr>
        <sz val="12"/>
        <color theme="1"/>
        <rFont val="Times New Roman"/>
        <family val="1"/>
      </rPr>
      <t>16</t>
    </r>
    <r>
      <rPr>
        <sz val="12"/>
        <color theme="1"/>
        <rFont val="新細明體"/>
        <family val="1"/>
        <charset val="136"/>
      </rPr>
      <t>歲未滿</t>
    </r>
    <phoneticPr fontId="3" type="noConversion"/>
  </si>
  <si>
    <r>
      <t>16</t>
    </r>
    <r>
      <rPr>
        <sz val="12"/>
        <color theme="1"/>
        <rFont val="新細明體"/>
        <family val="1"/>
        <charset val="136"/>
      </rPr>
      <t>歲以上</t>
    </r>
    <r>
      <rPr>
        <sz val="12"/>
        <color theme="1"/>
        <rFont val="Times New Roman"/>
        <family val="1"/>
      </rPr>
      <t>17</t>
    </r>
    <r>
      <rPr>
        <sz val="12"/>
        <color theme="1"/>
        <rFont val="新細明體"/>
        <family val="1"/>
        <charset val="136"/>
      </rPr>
      <t>歲未滿</t>
    </r>
    <phoneticPr fontId="3" type="noConversion"/>
  </si>
  <si>
    <r>
      <t>17</t>
    </r>
    <r>
      <rPr>
        <sz val="12"/>
        <color theme="1"/>
        <rFont val="新細明體"/>
        <family val="1"/>
        <charset val="136"/>
      </rPr>
      <t>歲以上</t>
    </r>
    <r>
      <rPr>
        <sz val="12"/>
        <color theme="1"/>
        <rFont val="Times New Roman"/>
        <family val="1"/>
      </rPr>
      <t>18</t>
    </r>
    <r>
      <rPr>
        <sz val="12"/>
        <color theme="1"/>
        <rFont val="新細明體"/>
        <family val="1"/>
        <charset val="136"/>
      </rPr>
      <t>歲未滿</t>
    </r>
    <phoneticPr fontId="3" type="noConversion"/>
  </si>
  <si>
    <r>
      <rPr>
        <sz val="10"/>
        <color theme="1"/>
        <rFont val="新細明體"/>
        <family val="1"/>
        <charset val="136"/>
      </rPr>
      <t>資料來源：司法院</t>
    </r>
    <r>
      <rPr>
        <sz val="10"/>
        <color theme="1"/>
        <rFont val="Times New Roman"/>
        <family val="1"/>
      </rPr>
      <t xml:space="preserve"> (</t>
    </r>
    <r>
      <rPr>
        <sz val="10"/>
        <color theme="1"/>
        <rFont val="新細明體"/>
        <family val="1"/>
        <charset val="136"/>
      </rPr>
      <t>表</t>
    </r>
    <r>
      <rPr>
        <sz val="10"/>
        <color theme="1"/>
        <rFont val="Times New Roman"/>
        <family val="1"/>
      </rPr>
      <t>10914-03-04-05)</t>
    </r>
    <r>
      <rPr>
        <sz val="10"/>
        <color theme="1"/>
        <rFont val="新細明體"/>
        <family val="1"/>
        <charset val="136"/>
      </rPr>
      <t>。</t>
    </r>
    <phoneticPr fontId="37" type="noConversion"/>
  </si>
  <si>
    <r>
      <rPr>
        <sz val="12"/>
        <color theme="1"/>
        <rFont val="PMingLiU"/>
        <family val="1"/>
        <charset val="136"/>
      </rPr>
      <t>強盜罪</t>
    </r>
    <phoneticPr fontId="2" type="noConversion"/>
  </si>
  <si>
    <r>
      <rPr>
        <sz val="12"/>
        <color theme="1"/>
        <rFont val="細明體"/>
        <family val="3"/>
        <charset val="136"/>
      </rPr>
      <t>個人資料保護法</t>
    </r>
    <phoneticPr fontId="2" type="noConversion"/>
  </si>
  <si>
    <r>
      <rPr>
        <sz val="10"/>
        <color theme="1"/>
        <rFont val="新細明體"/>
        <family val="1"/>
        <charset val="136"/>
      </rPr>
      <t>說　　明：</t>
    </r>
    <r>
      <rPr>
        <sz val="10"/>
        <color theme="1"/>
        <rFont val="新細明體"/>
        <family val="1"/>
        <charset val="136"/>
      </rPr>
      <t>本表不包含未經個案調查人數及虞犯</t>
    </r>
    <r>
      <rPr>
        <sz val="10"/>
        <color theme="1"/>
        <rFont val="Times New Roman"/>
        <family val="1"/>
      </rPr>
      <t>/</t>
    </r>
    <r>
      <rPr>
        <sz val="10"/>
        <color theme="1"/>
        <rFont val="新細明體"/>
        <family val="1"/>
        <charset val="136"/>
      </rPr>
      <t>曝險少年。</t>
    </r>
    <r>
      <rPr>
        <sz val="10"/>
        <color theme="1"/>
        <rFont val="Times New Roman"/>
        <family val="1"/>
      </rPr>
      <t/>
    </r>
    <phoneticPr fontId="3" type="noConversion"/>
  </si>
  <si>
    <r>
      <rPr>
        <sz val="10"/>
        <rFont val="新細明體"/>
        <family val="1"/>
        <charset val="136"/>
      </rPr>
      <t>說　　明：</t>
    </r>
    <r>
      <rPr>
        <sz val="10"/>
        <rFont val="新細明體"/>
        <family val="1"/>
        <charset val="136"/>
      </rPr>
      <t>本表不包含未經個案調查人數及虞犯</t>
    </r>
    <r>
      <rPr>
        <sz val="10"/>
        <rFont val="Times New Roman"/>
        <family val="1"/>
      </rPr>
      <t>/</t>
    </r>
    <r>
      <rPr>
        <sz val="10"/>
        <rFont val="新細明體"/>
        <family val="1"/>
        <charset val="136"/>
      </rPr>
      <t>曝險少年。</t>
    </r>
    <phoneticPr fontId="3" type="noConversion"/>
  </si>
  <si>
    <r>
      <rPr>
        <sz val="10"/>
        <rFont val="新細明體"/>
        <family val="1"/>
        <charset val="136"/>
      </rPr>
      <t>說　　明：</t>
    </r>
    <r>
      <rPr>
        <sz val="10"/>
        <rFont val="Times New Roman"/>
        <family val="1"/>
      </rPr>
      <t xml:space="preserve">1. </t>
    </r>
    <r>
      <rPr>
        <sz val="10"/>
        <rFont val="新細明體"/>
        <family val="1"/>
        <charset val="136"/>
      </rPr>
      <t>本表不包含未經個案調查人數及虞犯</t>
    </r>
    <r>
      <rPr>
        <sz val="10"/>
        <rFont val="Times New Roman"/>
        <family val="1"/>
      </rPr>
      <t>/</t>
    </r>
    <r>
      <rPr>
        <sz val="10"/>
        <rFont val="新細明體"/>
        <family val="1"/>
        <charset val="136"/>
      </rPr>
      <t>曝險少年。
　　　　　</t>
    </r>
    <r>
      <rPr>
        <sz val="10"/>
        <rFont val="Times New Roman"/>
        <family val="1"/>
      </rPr>
      <t xml:space="preserve">2. </t>
    </r>
    <r>
      <rPr>
        <sz val="10"/>
        <rFont val="新細明體"/>
        <family val="1"/>
        <charset val="136"/>
      </rPr>
      <t>肄業含在校及離校。</t>
    </r>
    <phoneticPr fontId="3" type="noConversion"/>
  </si>
  <si>
    <r>
      <rPr>
        <sz val="10"/>
        <rFont val="新細明體"/>
        <family val="1"/>
        <charset val="136"/>
      </rPr>
      <t>說　　明：</t>
    </r>
    <r>
      <rPr>
        <sz val="10"/>
        <rFont val="Times New Roman"/>
        <family val="1"/>
      </rPr>
      <t xml:space="preserve">1. </t>
    </r>
    <r>
      <rPr>
        <sz val="10"/>
        <rFont val="新細明體"/>
        <family val="1"/>
        <charset val="136"/>
      </rPr>
      <t>本表不包含未經個案調查人數及虞犯</t>
    </r>
    <r>
      <rPr>
        <sz val="10"/>
        <rFont val="Times New Roman"/>
        <family val="1"/>
      </rPr>
      <t>/</t>
    </r>
    <r>
      <rPr>
        <sz val="10"/>
        <rFont val="新細明體"/>
        <family val="1"/>
        <charset val="136"/>
      </rPr>
      <t>曝險少年。
　　　　　</t>
    </r>
    <r>
      <rPr>
        <sz val="10"/>
        <rFont val="Times New Roman"/>
        <family val="1"/>
      </rPr>
      <t xml:space="preserve">2. </t>
    </r>
    <r>
      <rPr>
        <sz val="10"/>
        <rFont val="新細明體"/>
        <family val="1"/>
        <charset val="136"/>
      </rPr>
      <t>本表原始檔案總計人數和前表不同，敬請留意。</t>
    </r>
    <phoneticPr fontId="3" type="noConversion"/>
  </si>
  <si>
    <t>說　　明：本表不包含未經個案調查人數及虞犯/曝險少年。</t>
    <phoneticPr fontId="3" type="noConversion"/>
  </si>
  <si>
    <r>
      <t>111年</t>
    </r>
    <r>
      <rPr>
        <sz val="12"/>
        <color theme="1"/>
        <rFont val="新細明體"/>
        <family val="2"/>
        <charset val="136"/>
        <scheme val="minor"/>
      </rPr>
      <t/>
    </r>
  </si>
  <si>
    <r>
      <t>111年</t>
    </r>
    <r>
      <rPr>
        <sz val="12"/>
        <color theme="1"/>
        <rFont val="新細明體"/>
        <family val="2"/>
      </rPr>
      <t/>
    </r>
  </si>
  <si>
    <t>兒少性剝削防制條例</t>
    <phoneticPr fontId="2" type="noConversion"/>
  </si>
  <si>
    <t>國小肄業</t>
    <phoneticPr fontId="2" type="noConversion"/>
  </si>
  <si>
    <t>國小畢業</t>
    <phoneticPr fontId="2" type="noConversion"/>
  </si>
  <si>
    <t>-</t>
    <phoneticPr fontId="2" type="noConversion"/>
  </si>
  <si>
    <r>
      <rPr>
        <sz val="10"/>
        <color theme="1"/>
        <rFont val="新細明體"/>
        <family val="2"/>
        <charset val="136"/>
      </rPr>
      <t>資料來源：司法院</t>
    </r>
    <r>
      <rPr>
        <sz val="10"/>
        <color theme="1"/>
        <rFont val="Times New Roman"/>
        <family val="1"/>
      </rPr>
      <t xml:space="preserve"> (</t>
    </r>
    <r>
      <rPr>
        <sz val="10"/>
        <color theme="1"/>
        <rFont val="新細明體"/>
        <family val="2"/>
        <charset val="136"/>
      </rPr>
      <t>表</t>
    </r>
    <r>
      <rPr>
        <sz val="10"/>
        <color theme="1"/>
        <rFont val="Times New Roman"/>
        <family val="1"/>
      </rPr>
      <t>10914-02-05-05)</t>
    </r>
    <r>
      <rPr>
        <sz val="10"/>
        <color theme="1"/>
        <rFont val="新細明體"/>
        <family val="2"/>
        <charset val="136"/>
      </rPr>
      <t>。</t>
    </r>
  </si>
  <si>
    <r>
      <rPr>
        <sz val="10"/>
        <color theme="1"/>
        <rFont val="新細明體"/>
        <family val="2"/>
        <charset val="136"/>
      </rPr>
      <t>說</t>
    </r>
    <r>
      <rPr>
        <sz val="10"/>
        <color theme="1"/>
        <rFont val="Times New Roman"/>
        <family val="1"/>
      </rPr>
      <t xml:space="preserve">         </t>
    </r>
    <r>
      <rPr>
        <sz val="10"/>
        <color theme="1"/>
        <rFont val="新細明體"/>
        <family val="2"/>
        <charset val="136"/>
      </rPr>
      <t>明：本表刑事案件，係指當年度經法院裁判且經個案調查的少年。</t>
    </r>
  </si>
  <si>
    <r>
      <rPr>
        <sz val="12"/>
        <color theme="1"/>
        <rFont val="新細明體"/>
        <family val="2"/>
        <charset val="136"/>
        <scheme val="minor"/>
      </rPr>
      <t>總計</t>
    </r>
    <r>
      <rPr>
        <sz val="12"/>
        <rFont val="Times New Roman"/>
        <family val="1"/>
      </rPr>
      <t xml:space="preserve"> </t>
    </r>
    <phoneticPr fontId="2" type="noConversion"/>
  </si>
  <si>
    <t>回本篇表次</t>
  </si>
  <si>
    <r>
      <rPr>
        <sz val="15"/>
        <color theme="1"/>
        <rFont val="新細明體"/>
        <family val="1"/>
        <charset val="136"/>
      </rPr>
      <t>表</t>
    </r>
    <r>
      <rPr>
        <sz val="15"/>
        <color theme="1"/>
        <rFont val="Times New Roman"/>
        <family val="1"/>
      </rPr>
      <t>3-2-8</t>
    </r>
    <r>
      <rPr>
        <sz val="15"/>
        <color theme="1"/>
        <rFont val="新細明體"/>
        <family val="1"/>
        <charset val="136"/>
      </rPr>
      <t>　近</t>
    </r>
    <r>
      <rPr>
        <sz val="15"/>
        <color theme="1"/>
        <rFont val="Times New Roman"/>
        <family val="1"/>
      </rPr>
      <t>10</t>
    </r>
    <r>
      <rPr>
        <sz val="15"/>
        <color theme="1"/>
        <rFont val="新細明體"/>
        <family val="1"/>
        <charset val="136"/>
      </rPr>
      <t>年觸法少年交付保護處分之教育程度</t>
    </r>
    <phoneticPr fontId="3" type="noConversion"/>
  </si>
  <si>
    <r>
      <rPr>
        <sz val="15"/>
        <color theme="1"/>
        <rFont val="新細明體"/>
        <family val="1"/>
        <charset val="136"/>
      </rPr>
      <t>表</t>
    </r>
    <r>
      <rPr>
        <sz val="15"/>
        <color theme="1"/>
        <rFont val="Times New Roman"/>
        <family val="1"/>
      </rPr>
      <t>3-2-9</t>
    </r>
    <r>
      <rPr>
        <sz val="15"/>
        <color theme="1"/>
        <rFont val="新細明體"/>
        <family val="1"/>
        <charset val="136"/>
      </rPr>
      <t>　近</t>
    </r>
    <r>
      <rPr>
        <sz val="15"/>
        <color theme="1"/>
        <rFont val="Times New Roman"/>
        <family val="1"/>
      </rPr>
      <t>10</t>
    </r>
    <r>
      <rPr>
        <sz val="15"/>
        <color theme="1"/>
        <rFont val="新細明體"/>
        <family val="1"/>
        <charset val="136"/>
      </rPr>
      <t>年觸法少年交付保護處分之性別與就業情形</t>
    </r>
    <phoneticPr fontId="3" type="noConversion"/>
  </si>
  <si>
    <r>
      <rPr>
        <sz val="15"/>
        <color theme="1"/>
        <rFont val="新細明體"/>
        <family val="1"/>
        <charset val="136"/>
      </rPr>
      <t>表</t>
    </r>
    <r>
      <rPr>
        <sz val="15"/>
        <color theme="1"/>
        <rFont val="Times New Roman"/>
        <family val="1"/>
      </rPr>
      <t>3-2-10</t>
    </r>
    <r>
      <rPr>
        <sz val="15"/>
        <color theme="1"/>
        <rFont val="新細明體"/>
        <family val="1"/>
        <charset val="136"/>
      </rPr>
      <t>　近</t>
    </r>
    <r>
      <rPr>
        <sz val="15"/>
        <color theme="1"/>
        <rFont val="Times New Roman"/>
        <family val="1"/>
      </rPr>
      <t>10</t>
    </r>
    <r>
      <rPr>
        <sz val="15"/>
        <color theme="1"/>
        <rFont val="新細明體"/>
        <family val="1"/>
        <charset val="136"/>
      </rPr>
      <t>年觸法少年交付保護處分之家庭經濟狀況</t>
    </r>
    <phoneticPr fontId="3" type="noConversion"/>
  </si>
  <si>
    <r>
      <rPr>
        <sz val="15"/>
        <color theme="1"/>
        <rFont val="新細明體"/>
        <family val="1"/>
        <charset val="136"/>
      </rPr>
      <t>表</t>
    </r>
    <r>
      <rPr>
        <sz val="15"/>
        <color theme="1"/>
        <rFont val="Times New Roman"/>
        <family val="1"/>
      </rPr>
      <t xml:space="preserve">3-2-12     </t>
    </r>
    <r>
      <rPr>
        <sz val="15"/>
        <color theme="1"/>
        <rFont val="新細明體"/>
        <family val="1"/>
        <charset val="136"/>
      </rPr>
      <t>近</t>
    </r>
    <r>
      <rPr>
        <sz val="15"/>
        <color theme="1"/>
        <rFont val="Times New Roman"/>
        <family val="1"/>
      </rPr>
      <t>10</t>
    </r>
    <r>
      <rPr>
        <sz val="15"/>
        <color theme="1"/>
        <rFont val="新細明體"/>
        <family val="1"/>
        <charset val="136"/>
      </rPr>
      <t>年觸法少年交付保護處分之父母婚姻狀況</t>
    </r>
    <phoneticPr fontId="3" type="noConversion"/>
  </si>
  <si>
    <r>
      <rPr>
        <sz val="15"/>
        <color theme="1"/>
        <rFont val="新細明體"/>
        <family val="1"/>
        <charset val="136"/>
      </rPr>
      <t>表</t>
    </r>
    <r>
      <rPr>
        <sz val="15"/>
        <color theme="1"/>
        <rFont val="Times New Roman"/>
        <family val="1"/>
      </rPr>
      <t xml:space="preserve">3-2-13    </t>
    </r>
    <r>
      <rPr>
        <sz val="15"/>
        <color theme="1"/>
        <rFont val="新細明體"/>
        <family val="1"/>
        <charset val="136"/>
      </rPr>
      <t>近</t>
    </r>
    <r>
      <rPr>
        <sz val="15"/>
        <color theme="1"/>
        <rFont val="Times New Roman"/>
        <family val="1"/>
      </rPr>
      <t>10</t>
    </r>
    <r>
      <rPr>
        <sz val="15"/>
        <color theme="1"/>
        <rFont val="新細明體"/>
        <family val="1"/>
        <charset val="136"/>
      </rPr>
      <t>年少年刑事案件性別與罪名</t>
    </r>
    <phoneticPr fontId="3" type="noConversion"/>
  </si>
  <si>
    <r>
      <rPr>
        <sz val="15"/>
        <rFont val="新細明體"/>
        <family val="1"/>
        <charset val="136"/>
      </rPr>
      <t>表</t>
    </r>
    <r>
      <rPr>
        <sz val="15"/>
        <rFont val="Times New Roman"/>
        <family val="1"/>
      </rPr>
      <t>3-2-16</t>
    </r>
    <r>
      <rPr>
        <sz val="15"/>
        <rFont val="新細明體"/>
        <family val="1"/>
        <charset val="136"/>
      </rPr>
      <t>　</t>
    </r>
    <r>
      <rPr>
        <sz val="15"/>
        <rFont val="Times New Roman"/>
        <family val="1"/>
      </rPr>
      <t xml:space="preserve"> </t>
    </r>
    <r>
      <rPr>
        <sz val="15"/>
        <rFont val="新細明體"/>
        <family val="1"/>
        <charset val="136"/>
      </rPr>
      <t>近</t>
    </r>
    <r>
      <rPr>
        <sz val="15"/>
        <rFont val="Times New Roman"/>
        <family val="1"/>
      </rPr>
      <t>10</t>
    </r>
    <r>
      <rPr>
        <sz val="15"/>
        <rFont val="新細明體"/>
        <family val="1"/>
        <charset val="136"/>
      </rPr>
      <t>年少年刑事案件教育程度</t>
    </r>
    <phoneticPr fontId="3" type="noConversion"/>
  </si>
  <si>
    <r>
      <rPr>
        <sz val="15"/>
        <color theme="1"/>
        <rFont val="新細明體"/>
        <family val="1"/>
        <charset val="136"/>
      </rPr>
      <t>表</t>
    </r>
    <r>
      <rPr>
        <sz val="15"/>
        <color theme="1"/>
        <rFont val="Times New Roman"/>
        <family val="1"/>
      </rPr>
      <t>3-2-17</t>
    </r>
    <r>
      <rPr>
        <sz val="15"/>
        <color theme="1"/>
        <rFont val="新細明體"/>
        <family val="1"/>
        <charset val="136"/>
      </rPr>
      <t>　近</t>
    </r>
    <r>
      <rPr>
        <sz val="15"/>
        <color theme="1"/>
        <rFont val="Times New Roman"/>
        <family val="1"/>
      </rPr>
      <t>10</t>
    </r>
    <r>
      <rPr>
        <sz val="15"/>
        <color theme="1"/>
        <rFont val="新細明體"/>
        <family val="1"/>
        <charset val="136"/>
      </rPr>
      <t>年少年刑事案件之性別與就業情形</t>
    </r>
    <phoneticPr fontId="3" type="noConversion"/>
  </si>
  <si>
    <r>
      <rPr>
        <sz val="15"/>
        <rFont val="新細明體"/>
        <family val="1"/>
        <charset val="136"/>
      </rPr>
      <t>表</t>
    </r>
    <r>
      <rPr>
        <sz val="15"/>
        <rFont val="Times New Roman"/>
        <family val="1"/>
      </rPr>
      <t>3-2-18</t>
    </r>
    <r>
      <rPr>
        <sz val="15"/>
        <rFont val="新細明體"/>
        <family val="1"/>
        <charset val="136"/>
      </rPr>
      <t>　近</t>
    </r>
    <r>
      <rPr>
        <sz val="15"/>
        <rFont val="Times New Roman"/>
        <family val="1"/>
      </rPr>
      <t>10</t>
    </r>
    <r>
      <rPr>
        <sz val="15"/>
        <rFont val="新細明體"/>
        <family val="1"/>
        <charset val="136"/>
      </rPr>
      <t>年少年刑事案件家庭經濟狀況</t>
    </r>
    <phoneticPr fontId="3" type="noConversion"/>
  </si>
  <si>
    <r>
      <rPr>
        <sz val="14"/>
        <color theme="1"/>
        <rFont val="新細明體"/>
        <family val="2"/>
        <charset val="136"/>
      </rPr>
      <t>表</t>
    </r>
    <r>
      <rPr>
        <sz val="14"/>
        <color theme="1"/>
        <rFont val="Times New Roman"/>
        <family val="1"/>
      </rPr>
      <t>3-2-19</t>
    </r>
    <r>
      <rPr>
        <sz val="14"/>
        <color theme="1"/>
        <rFont val="新細明體"/>
        <family val="2"/>
        <charset val="136"/>
      </rPr>
      <t>　</t>
    </r>
    <r>
      <rPr>
        <sz val="14"/>
        <color theme="1"/>
        <rFont val="Times New Roman"/>
        <family val="1"/>
      </rPr>
      <t xml:space="preserve"> </t>
    </r>
    <r>
      <rPr>
        <sz val="14"/>
        <color theme="1"/>
        <rFont val="新細明體"/>
        <family val="2"/>
        <charset val="136"/>
      </rPr>
      <t>近</t>
    </r>
    <r>
      <rPr>
        <sz val="14"/>
        <color theme="1"/>
        <rFont val="Times New Roman"/>
        <family val="1"/>
      </rPr>
      <t>10</t>
    </r>
    <r>
      <rPr>
        <sz val="14"/>
        <color theme="1"/>
        <rFont val="新細明體"/>
        <family val="2"/>
        <charset val="136"/>
      </rPr>
      <t>年少年刑事案件父母現況</t>
    </r>
    <phoneticPr fontId="2" type="noConversion"/>
  </si>
  <si>
    <r>
      <rPr>
        <sz val="15"/>
        <color theme="1"/>
        <rFont val="新細明體"/>
        <family val="1"/>
        <charset val="136"/>
      </rPr>
      <t>表</t>
    </r>
    <r>
      <rPr>
        <sz val="15"/>
        <color theme="1"/>
        <rFont val="Times New Roman"/>
        <family val="1"/>
      </rPr>
      <t>3-2-21</t>
    </r>
    <r>
      <rPr>
        <sz val="15"/>
        <color theme="1"/>
        <rFont val="新細明體"/>
        <family val="1"/>
        <charset val="136"/>
      </rPr>
      <t>　近</t>
    </r>
    <r>
      <rPr>
        <sz val="15"/>
        <color theme="1"/>
        <rFont val="Times New Roman"/>
        <family val="1"/>
      </rPr>
      <t>10</t>
    </r>
    <r>
      <rPr>
        <sz val="15"/>
        <color theme="1"/>
        <rFont val="新細明體"/>
        <family val="1"/>
        <charset val="136"/>
      </rPr>
      <t>年曝險少年交付保護處分之性別與行為</t>
    </r>
    <phoneticPr fontId="3" type="noConversion"/>
  </si>
  <si>
    <r>
      <rPr>
        <sz val="15"/>
        <color theme="1"/>
        <rFont val="新細明體"/>
        <family val="1"/>
        <charset val="136"/>
      </rPr>
      <t>表</t>
    </r>
    <r>
      <rPr>
        <sz val="15"/>
        <color theme="1"/>
        <rFont val="Times New Roman"/>
        <family val="1"/>
      </rPr>
      <t>3-2-22</t>
    </r>
    <r>
      <rPr>
        <sz val="15"/>
        <color theme="1"/>
        <rFont val="新細明體"/>
        <family val="1"/>
        <charset val="136"/>
      </rPr>
      <t>　近</t>
    </r>
    <r>
      <rPr>
        <sz val="15"/>
        <color theme="1"/>
        <rFont val="Times New Roman"/>
        <family val="1"/>
      </rPr>
      <t>10</t>
    </r>
    <r>
      <rPr>
        <sz val="15"/>
        <color theme="1"/>
        <rFont val="新細明體"/>
        <family val="1"/>
        <charset val="136"/>
      </rPr>
      <t>年曝險少年交付保護處分之性別與年齡</t>
    </r>
    <phoneticPr fontId="3" type="noConversion"/>
  </si>
  <si>
    <r>
      <rPr>
        <sz val="15"/>
        <color theme="1"/>
        <rFont val="新細明體"/>
        <family val="1"/>
        <charset val="136"/>
      </rPr>
      <t>表</t>
    </r>
    <r>
      <rPr>
        <sz val="15"/>
        <color theme="1"/>
        <rFont val="Times New Roman"/>
        <family val="1"/>
      </rPr>
      <t>3-2-23</t>
    </r>
    <r>
      <rPr>
        <sz val="15"/>
        <color theme="1"/>
        <rFont val="新細明體"/>
        <family val="1"/>
        <charset val="136"/>
      </rPr>
      <t>　近</t>
    </r>
    <r>
      <rPr>
        <sz val="15"/>
        <color theme="1"/>
        <rFont val="Times New Roman"/>
        <family val="1"/>
      </rPr>
      <t>10</t>
    </r>
    <r>
      <rPr>
        <sz val="15"/>
        <color theme="1"/>
        <rFont val="新細明體"/>
        <family val="1"/>
        <charset val="136"/>
      </rPr>
      <t>年曝險少年交付保護處分之教育程度</t>
    </r>
    <phoneticPr fontId="3" type="noConversion"/>
  </si>
  <si>
    <r>
      <rPr>
        <sz val="15"/>
        <color theme="1"/>
        <rFont val="新細明體"/>
        <family val="1"/>
        <charset val="136"/>
      </rPr>
      <t>表</t>
    </r>
    <r>
      <rPr>
        <sz val="15"/>
        <color theme="1"/>
        <rFont val="Times New Roman"/>
        <family val="1"/>
      </rPr>
      <t>3-2-24</t>
    </r>
    <r>
      <rPr>
        <sz val="15"/>
        <color theme="1"/>
        <rFont val="新細明體"/>
        <family val="1"/>
        <charset val="136"/>
      </rPr>
      <t>　近</t>
    </r>
    <r>
      <rPr>
        <sz val="15"/>
        <color theme="1"/>
        <rFont val="Times New Roman"/>
        <family val="1"/>
      </rPr>
      <t>10</t>
    </r>
    <r>
      <rPr>
        <sz val="15"/>
        <color theme="1"/>
        <rFont val="新細明體"/>
        <family val="1"/>
        <charset val="136"/>
      </rPr>
      <t>年曝險少年交付保護處分之性別與就業情形</t>
    </r>
    <phoneticPr fontId="3" type="noConversion"/>
  </si>
  <si>
    <r>
      <rPr>
        <sz val="15"/>
        <color theme="1"/>
        <rFont val="新細明體"/>
        <family val="1"/>
        <charset val="136"/>
      </rPr>
      <t>表</t>
    </r>
    <r>
      <rPr>
        <sz val="15"/>
        <color theme="1"/>
        <rFont val="Times New Roman"/>
        <family val="1"/>
      </rPr>
      <t>3-2-26</t>
    </r>
    <r>
      <rPr>
        <sz val="15"/>
        <color theme="1"/>
        <rFont val="新細明體"/>
        <family val="1"/>
        <charset val="136"/>
      </rPr>
      <t>　近</t>
    </r>
    <r>
      <rPr>
        <sz val="15"/>
        <color theme="1"/>
        <rFont val="Times New Roman"/>
        <family val="1"/>
      </rPr>
      <t>10</t>
    </r>
    <r>
      <rPr>
        <sz val="15"/>
        <color theme="1"/>
        <rFont val="新細明體"/>
        <family val="1"/>
        <charset val="136"/>
      </rPr>
      <t>年曝險少年交付保護處分之父母現況</t>
    </r>
    <phoneticPr fontId="3" type="noConversion"/>
  </si>
  <si>
    <r>
      <rPr>
        <sz val="12"/>
        <color rgb="FF002060"/>
        <rFont val="新細明體"/>
        <family val="1"/>
        <charset val="136"/>
      </rPr>
      <t>表</t>
    </r>
    <r>
      <rPr>
        <sz val="12"/>
        <color rgb="FF002060"/>
        <rFont val="Times New Roman"/>
        <family val="1"/>
      </rPr>
      <t>3-2-4</t>
    </r>
    <r>
      <rPr>
        <sz val="12"/>
        <color rgb="FF002060"/>
        <rFont val="新細明體"/>
        <family val="1"/>
        <charset val="136"/>
      </rPr>
      <t>　近</t>
    </r>
    <r>
      <rPr>
        <sz val="12"/>
        <color rgb="FF002060"/>
        <rFont val="Times New Roman"/>
        <family val="1"/>
      </rPr>
      <t>10</t>
    </r>
    <r>
      <rPr>
        <sz val="12"/>
        <color rgb="FF002060"/>
        <rFont val="新細明體"/>
        <family val="1"/>
        <charset val="136"/>
      </rPr>
      <t>年地方法院（庭）審理終結之少年觸法、虞犯</t>
    </r>
    <r>
      <rPr>
        <sz val="12"/>
        <color rgb="FF002060"/>
        <rFont val="Times New Roman"/>
        <family val="1"/>
      </rPr>
      <t>/</t>
    </r>
    <r>
      <rPr>
        <sz val="12"/>
        <color rgb="FF002060"/>
        <rFont val="新細明體"/>
        <family val="1"/>
        <charset val="136"/>
      </rPr>
      <t>曝險人數</t>
    </r>
  </si>
  <si>
    <r>
      <rPr>
        <sz val="12"/>
        <color rgb="FF002060"/>
        <rFont val="新細明體"/>
        <family val="1"/>
        <charset val="136"/>
      </rPr>
      <t>表</t>
    </r>
    <r>
      <rPr>
        <sz val="12"/>
        <color rgb="FF002060"/>
        <rFont val="Times New Roman"/>
        <family val="1"/>
      </rPr>
      <t>3-2-5</t>
    </r>
    <r>
      <rPr>
        <sz val="12"/>
        <color rgb="FF002060"/>
        <rFont val="新細明體"/>
        <family val="1"/>
        <charset val="136"/>
      </rPr>
      <t>　近</t>
    </r>
    <r>
      <rPr>
        <sz val="12"/>
        <color rgb="FF002060"/>
        <rFont val="Times New Roman"/>
        <family val="1"/>
      </rPr>
      <t>10</t>
    </r>
    <r>
      <rPr>
        <sz val="12"/>
        <color rgb="FF002060"/>
        <rFont val="新細明體"/>
        <family val="1"/>
        <charset val="136"/>
      </rPr>
      <t>年觸法少年交付保護處分之罪名</t>
    </r>
  </si>
  <si>
    <r>
      <rPr>
        <sz val="12"/>
        <color rgb="FF002060"/>
        <rFont val="新細明體"/>
        <family val="1"/>
        <charset val="136"/>
      </rPr>
      <t>表</t>
    </r>
    <r>
      <rPr>
        <sz val="12"/>
        <color rgb="FF002060"/>
        <rFont val="Times New Roman"/>
        <family val="1"/>
      </rPr>
      <t>3-2-6</t>
    </r>
    <r>
      <rPr>
        <sz val="12"/>
        <color rgb="FF002060"/>
        <rFont val="新細明體"/>
        <family val="1"/>
        <charset val="136"/>
      </rPr>
      <t>　近</t>
    </r>
    <r>
      <rPr>
        <sz val="12"/>
        <color rgb="FF002060"/>
        <rFont val="Times New Roman"/>
        <family val="1"/>
      </rPr>
      <t>10</t>
    </r>
    <r>
      <rPr>
        <sz val="12"/>
        <color rgb="FF002060"/>
        <rFont val="新細明體"/>
        <family val="1"/>
        <charset val="136"/>
      </rPr>
      <t>年觸法少年交付保護處分之性別與年齡</t>
    </r>
  </si>
  <si>
    <r>
      <rPr>
        <sz val="12"/>
        <color rgb="FF002060"/>
        <rFont val="新細明體"/>
        <family val="1"/>
        <charset val="136"/>
      </rPr>
      <t>表</t>
    </r>
    <r>
      <rPr>
        <sz val="12"/>
        <color rgb="FF002060"/>
        <rFont val="Times New Roman"/>
        <family val="1"/>
      </rPr>
      <t>3-2-8</t>
    </r>
    <r>
      <rPr>
        <sz val="12"/>
        <color rgb="FF002060"/>
        <rFont val="新細明體"/>
        <family val="1"/>
        <charset val="136"/>
      </rPr>
      <t>　近</t>
    </r>
    <r>
      <rPr>
        <sz val="12"/>
        <color rgb="FF002060"/>
        <rFont val="Times New Roman"/>
        <family val="1"/>
      </rPr>
      <t>10</t>
    </r>
    <r>
      <rPr>
        <sz val="12"/>
        <color rgb="FF002060"/>
        <rFont val="新細明體"/>
        <family val="1"/>
        <charset val="136"/>
      </rPr>
      <t>年觸法少年交付保護處分之教育程度</t>
    </r>
  </si>
  <si>
    <r>
      <rPr>
        <sz val="12"/>
        <color rgb="FF002060"/>
        <rFont val="新細明體"/>
        <family val="1"/>
        <charset val="136"/>
      </rPr>
      <t>表</t>
    </r>
    <r>
      <rPr>
        <sz val="12"/>
        <color rgb="FF002060"/>
        <rFont val="Times New Roman"/>
        <family val="1"/>
      </rPr>
      <t>3-2-9</t>
    </r>
    <r>
      <rPr>
        <sz val="12"/>
        <color rgb="FF002060"/>
        <rFont val="新細明體"/>
        <family val="1"/>
        <charset val="136"/>
      </rPr>
      <t>　近</t>
    </r>
    <r>
      <rPr>
        <sz val="12"/>
        <color rgb="FF002060"/>
        <rFont val="Times New Roman"/>
        <family val="1"/>
      </rPr>
      <t>10</t>
    </r>
    <r>
      <rPr>
        <sz val="12"/>
        <color rgb="FF002060"/>
        <rFont val="新細明體"/>
        <family val="1"/>
        <charset val="136"/>
      </rPr>
      <t>年觸法少年交付保護處分之性別與就業情形</t>
    </r>
  </si>
  <si>
    <r>
      <rPr>
        <sz val="12"/>
        <color rgb="FF002060"/>
        <rFont val="新細明體"/>
        <family val="1"/>
        <charset val="136"/>
      </rPr>
      <t>表</t>
    </r>
    <r>
      <rPr>
        <sz val="12"/>
        <color rgb="FF002060"/>
        <rFont val="Times New Roman"/>
        <family val="1"/>
      </rPr>
      <t>3-2-10</t>
    </r>
    <r>
      <rPr>
        <sz val="12"/>
        <color rgb="FF002060"/>
        <rFont val="新細明體"/>
        <family val="1"/>
        <charset val="136"/>
      </rPr>
      <t>　近</t>
    </r>
    <r>
      <rPr>
        <sz val="12"/>
        <color rgb="FF002060"/>
        <rFont val="Times New Roman"/>
        <family val="1"/>
      </rPr>
      <t>10</t>
    </r>
    <r>
      <rPr>
        <sz val="12"/>
        <color rgb="FF002060"/>
        <rFont val="新細明體"/>
        <family val="1"/>
        <charset val="136"/>
      </rPr>
      <t>年觸法少年交付保護處分之家庭經濟狀況</t>
    </r>
  </si>
  <si>
    <r>
      <rPr>
        <sz val="12"/>
        <color rgb="FF002060"/>
        <rFont val="新細明體"/>
        <family val="1"/>
        <charset val="136"/>
      </rPr>
      <t>表</t>
    </r>
    <r>
      <rPr>
        <sz val="12"/>
        <color rgb="FF002060"/>
        <rFont val="Times New Roman"/>
        <family val="1"/>
      </rPr>
      <t>3-2-11</t>
    </r>
    <r>
      <rPr>
        <sz val="12"/>
        <color rgb="FF002060"/>
        <rFont val="新細明體"/>
        <family val="1"/>
        <charset val="136"/>
      </rPr>
      <t>　近</t>
    </r>
    <r>
      <rPr>
        <sz val="12"/>
        <color rgb="FF002060"/>
        <rFont val="Times New Roman"/>
        <family val="1"/>
      </rPr>
      <t>10</t>
    </r>
    <r>
      <rPr>
        <sz val="12"/>
        <color rgb="FF002060"/>
        <rFont val="新細明體"/>
        <family val="1"/>
        <charset val="136"/>
      </rPr>
      <t>年觸法少年交付保護處分之父母現況</t>
    </r>
  </si>
  <si>
    <r>
      <rPr>
        <sz val="12"/>
        <color rgb="FF002060"/>
        <rFont val="新細明體"/>
        <family val="1"/>
        <charset val="136"/>
      </rPr>
      <t>表</t>
    </r>
    <r>
      <rPr>
        <sz val="12"/>
        <color rgb="FF002060"/>
        <rFont val="Times New Roman"/>
        <family val="1"/>
      </rPr>
      <t>3-2-12</t>
    </r>
    <r>
      <rPr>
        <sz val="12"/>
        <color rgb="FF002060"/>
        <rFont val="新細明體"/>
        <family val="1"/>
        <charset val="136"/>
      </rPr>
      <t>　近</t>
    </r>
    <r>
      <rPr>
        <sz val="12"/>
        <color rgb="FF002060"/>
        <rFont val="Times New Roman"/>
        <family val="1"/>
      </rPr>
      <t>10</t>
    </r>
    <r>
      <rPr>
        <sz val="12"/>
        <color rgb="FF002060"/>
        <rFont val="新細明體"/>
        <family val="1"/>
        <charset val="136"/>
      </rPr>
      <t>年觸法少年交付保護處分之父母婚姻狀況</t>
    </r>
  </si>
  <si>
    <r>
      <rPr>
        <sz val="12"/>
        <color rgb="FF002060"/>
        <rFont val="新細明體"/>
        <family val="1"/>
        <charset val="136"/>
      </rPr>
      <t>表</t>
    </r>
    <r>
      <rPr>
        <sz val="12"/>
        <color rgb="FF002060"/>
        <rFont val="Times New Roman"/>
        <family val="1"/>
      </rPr>
      <t>3-2-13</t>
    </r>
    <r>
      <rPr>
        <sz val="12"/>
        <color rgb="FF002060"/>
        <rFont val="新細明體"/>
        <family val="1"/>
        <charset val="136"/>
      </rPr>
      <t>　近</t>
    </r>
    <r>
      <rPr>
        <sz val="12"/>
        <color rgb="FF002060"/>
        <rFont val="Times New Roman"/>
        <family val="1"/>
      </rPr>
      <t>10</t>
    </r>
    <r>
      <rPr>
        <sz val="12"/>
        <color rgb="FF002060"/>
        <rFont val="新細明體"/>
        <family val="1"/>
        <charset val="136"/>
      </rPr>
      <t>年少年刑事案件性別與罪名</t>
    </r>
  </si>
  <si>
    <r>
      <rPr>
        <sz val="12"/>
        <color rgb="FF002060"/>
        <rFont val="新細明體"/>
        <family val="1"/>
        <charset val="136"/>
      </rPr>
      <t>表</t>
    </r>
    <r>
      <rPr>
        <sz val="12"/>
        <color rgb="FF002060"/>
        <rFont val="Times New Roman"/>
        <family val="1"/>
      </rPr>
      <t>3-2-14</t>
    </r>
    <r>
      <rPr>
        <sz val="12"/>
        <color rgb="FF002060"/>
        <rFont val="新細明體"/>
        <family val="1"/>
        <charset val="136"/>
      </rPr>
      <t>　近</t>
    </r>
    <r>
      <rPr>
        <sz val="12"/>
        <color rgb="FF002060"/>
        <rFont val="Times New Roman"/>
        <family val="1"/>
      </rPr>
      <t>10</t>
    </r>
    <r>
      <rPr>
        <sz val="12"/>
        <color rgb="FF002060"/>
        <rFont val="新細明體"/>
        <family val="1"/>
        <charset val="136"/>
      </rPr>
      <t>年少年刑事案件年齡</t>
    </r>
  </si>
  <si>
    <r>
      <rPr>
        <sz val="12"/>
        <color rgb="FF002060"/>
        <rFont val="新細明體"/>
        <family val="1"/>
        <charset val="136"/>
      </rPr>
      <t>表</t>
    </r>
    <r>
      <rPr>
        <sz val="12"/>
        <color rgb="FF002060"/>
        <rFont val="Times New Roman"/>
        <family val="1"/>
      </rPr>
      <t>3-2-16</t>
    </r>
    <r>
      <rPr>
        <sz val="12"/>
        <color rgb="FF002060"/>
        <rFont val="新細明體"/>
        <family val="1"/>
        <charset val="136"/>
      </rPr>
      <t>　近</t>
    </r>
    <r>
      <rPr>
        <sz val="12"/>
        <color rgb="FF002060"/>
        <rFont val="Times New Roman"/>
        <family val="1"/>
      </rPr>
      <t>10</t>
    </r>
    <r>
      <rPr>
        <sz val="12"/>
        <color rgb="FF002060"/>
        <rFont val="新細明體"/>
        <family val="1"/>
        <charset val="136"/>
      </rPr>
      <t>年少年刑事案件教育程度</t>
    </r>
  </si>
  <si>
    <r>
      <rPr>
        <sz val="12"/>
        <color rgb="FF002060"/>
        <rFont val="新細明體"/>
        <family val="1"/>
        <charset val="136"/>
      </rPr>
      <t>表</t>
    </r>
    <r>
      <rPr>
        <sz val="12"/>
        <color rgb="FF002060"/>
        <rFont val="Times New Roman"/>
        <family val="1"/>
      </rPr>
      <t>3-2-17</t>
    </r>
    <r>
      <rPr>
        <sz val="12"/>
        <color rgb="FF002060"/>
        <rFont val="新細明體"/>
        <family val="1"/>
        <charset val="136"/>
      </rPr>
      <t>　近</t>
    </r>
    <r>
      <rPr>
        <sz val="12"/>
        <color rgb="FF002060"/>
        <rFont val="Times New Roman"/>
        <family val="1"/>
      </rPr>
      <t>10</t>
    </r>
    <r>
      <rPr>
        <sz val="12"/>
        <color rgb="FF002060"/>
        <rFont val="新細明體"/>
        <family val="1"/>
        <charset val="136"/>
      </rPr>
      <t>年少年刑事案件之性別與就業情形</t>
    </r>
  </si>
  <si>
    <r>
      <rPr>
        <sz val="12"/>
        <color rgb="FF002060"/>
        <rFont val="新細明體"/>
        <family val="1"/>
        <charset val="136"/>
      </rPr>
      <t>表</t>
    </r>
    <r>
      <rPr>
        <sz val="12"/>
        <color rgb="FF002060"/>
        <rFont val="Times New Roman"/>
        <family val="1"/>
      </rPr>
      <t>3-2-18</t>
    </r>
    <r>
      <rPr>
        <sz val="12"/>
        <color rgb="FF002060"/>
        <rFont val="新細明體"/>
        <family val="1"/>
        <charset val="136"/>
      </rPr>
      <t>　近</t>
    </r>
    <r>
      <rPr>
        <sz val="12"/>
        <color rgb="FF002060"/>
        <rFont val="Times New Roman"/>
        <family val="1"/>
      </rPr>
      <t>10</t>
    </r>
    <r>
      <rPr>
        <sz val="12"/>
        <color rgb="FF002060"/>
        <rFont val="新細明體"/>
        <family val="1"/>
        <charset val="136"/>
      </rPr>
      <t>年少年刑事案件家庭經濟狀況</t>
    </r>
  </si>
  <si>
    <r>
      <rPr>
        <sz val="12"/>
        <color rgb="FF002060"/>
        <rFont val="新細明體"/>
        <family val="1"/>
        <charset val="136"/>
      </rPr>
      <t>表</t>
    </r>
    <r>
      <rPr>
        <sz val="12"/>
        <color rgb="FF002060"/>
        <rFont val="Times New Roman"/>
        <family val="1"/>
      </rPr>
      <t>3-2-19</t>
    </r>
    <r>
      <rPr>
        <sz val="12"/>
        <color rgb="FF002060"/>
        <rFont val="新細明體"/>
        <family val="1"/>
        <charset val="136"/>
      </rPr>
      <t>　近</t>
    </r>
    <r>
      <rPr>
        <sz val="12"/>
        <color rgb="FF002060"/>
        <rFont val="Times New Roman"/>
        <family val="1"/>
      </rPr>
      <t>10</t>
    </r>
    <r>
      <rPr>
        <sz val="12"/>
        <color rgb="FF002060"/>
        <rFont val="新細明體"/>
        <family val="1"/>
        <charset val="136"/>
      </rPr>
      <t>年少年刑事案件父母現況</t>
    </r>
  </si>
  <si>
    <r>
      <rPr>
        <sz val="12"/>
        <color rgb="FF002060"/>
        <rFont val="新細明體"/>
        <family val="1"/>
        <charset val="136"/>
      </rPr>
      <t>表</t>
    </r>
    <r>
      <rPr>
        <sz val="12"/>
        <color rgb="FF002060"/>
        <rFont val="Times New Roman"/>
        <family val="1"/>
      </rPr>
      <t>3-2-20</t>
    </r>
    <r>
      <rPr>
        <sz val="12"/>
        <color rgb="FF002060"/>
        <rFont val="新細明體"/>
        <family val="1"/>
        <charset val="136"/>
      </rPr>
      <t>　近</t>
    </r>
    <r>
      <rPr>
        <sz val="12"/>
        <color rgb="FF002060"/>
        <rFont val="Times New Roman"/>
        <family val="1"/>
      </rPr>
      <t>10</t>
    </r>
    <r>
      <rPr>
        <sz val="12"/>
        <color rgb="FF002060"/>
        <rFont val="新細明體"/>
        <family val="1"/>
        <charset val="136"/>
      </rPr>
      <t>年少年刑事案件父母婚姻狀況</t>
    </r>
  </si>
  <si>
    <r>
      <rPr>
        <sz val="12"/>
        <color rgb="FF002060"/>
        <rFont val="新細明體"/>
        <family val="1"/>
        <charset val="136"/>
      </rPr>
      <t>表</t>
    </r>
    <r>
      <rPr>
        <sz val="12"/>
        <color rgb="FF002060"/>
        <rFont val="Times New Roman"/>
        <family val="1"/>
      </rPr>
      <t>3-2-21</t>
    </r>
    <r>
      <rPr>
        <sz val="12"/>
        <color rgb="FF002060"/>
        <rFont val="新細明體"/>
        <family val="1"/>
        <charset val="136"/>
      </rPr>
      <t>　近</t>
    </r>
    <r>
      <rPr>
        <sz val="12"/>
        <color rgb="FF002060"/>
        <rFont val="Times New Roman"/>
        <family val="1"/>
      </rPr>
      <t>10</t>
    </r>
    <r>
      <rPr>
        <sz val="12"/>
        <color rgb="FF002060"/>
        <rFont val="新細明體"/>
        <family val="1"/>
        <charset val="136"/>
      </rPr>
      <t>年曝險少年交付保護處分之性別與行為</t>
    </r>
  </si>
  <si>
    <r>
      <rPr>
        <sz val="12"/>
        <color rgb="FF002060"/>
        <rFont val="新細明體"/>
        <family val="1"/>
        <charset val="136"/>
      </rPr>
      <t>表</t>
    </r>
    <r>
      <rPr>
        <sz val="12"/>
        <color rgb="FF002060"/>
        <rFont val="Times New Roman"/>
        <family val="1"/>
      </rPr>
      <t>3-2-22</t>
    </r>
    <r>
      <rPr>
        <sz val="12"/>
        <color rgb="FF002060"/>
        <rFont val="新細明體"/>
        <family val="1"/>
        <charset val="136"/>
      </rPr>
      <t>　近</t>
    </r>
    <r>
      <rPr>
        <sz val="12"/>
        <color rgb="FF002060"/>
        <rFont val="Times New Roman"/>
        <family val="1"/>
      </rPr>
      <t>10</t>
    </r>
    <r>
      <rPr>
        <sz val="12"/>
        <color rgb="FF002060"/>
        <rFont val="新細明體"/>
        <family val="1"/>
        <charset val="136"/>
      </rPr>
      <t>年曝險少年交付保護處分之性別與年齡</t>
    </r>
  </si>
  <si>
    <r>
      <rPr>
        <sz val="12"/>
        <color rgb="FF002060"/>
        <rFont val="新細明體"/>
        <family val="1"/>
        <charset val="136"/>
      </rPr>
      <t>表</t>
    </r>
    <r>
      <rPr>
        <sz val="12"/>
        <color rgb="FF002060"/>
        <rFont val="Times New Roman"/>
        <family val="1"/>
      </rPr>
      <t>3-2-23</t>
    </r>
    <r>
      <rPr>
        <sz val="12"/>
        <color rgb="FF002060"/>
        <rFont val="新細明體"/>
        <family val="1"/>
        <charset val="136"/>
      </rPr>
      <t>　近</t>
    </r>
    <r>
      <rPr>
        <sz val="12"/>
        <color rgb="FF002060"/>
        <rFont val="Times New Roman"/>
        <family val="1"/>
      </rPr>
      <t>10</t>
    </r>
    <r>
      <rPr>
        <sz val="12"/>
        <color rgb="FF002060"/>
        <rFont val="新細明體"/>
        <family val="1"/>
        <charset val="136"/>
      </rPr>
      <t>年曝險少年交付保護處分之教育程度</t>
    </r>
  </si>
  <si>
    <r>
      <rPr>
        <sz val="12"/>
        <color rgb="FF002060"/>
        <rFont val="新細明體"/>
        <family val="1"/>
        <charset val="136"/>
      </rPr>
      <t>表</t>
    </r>
    <r>
      <rPr>
        <sz val="12"/>
        <color rgb="FF002060"/>
        <rFont val="Times New Roman"/>
        <family val="1"/>
      </rPr>
      <t>3-2-24</t>
    </r>
    <r>
      <rPr>
        <sz val="12"/>
        <color rgb="FF002060"/>
        <rFont val="新細明體"/>
        <family val="1"/>
        <charset val="136"/>
      </rPr>
      <t>　近</t>
    </r>
    <r>
      <rPr>
        <sz val="12"/>
        <color rgb="FF002060"/>
        <rFont val="Times New Roman"/>
        <family val="1"/>
      </rPr>
      <t>10</t>
    </r>
    <r>
      <rPr>
        <sz val="12"/>
        <color rgb="FF002060"/>
        <rFont val="新細明體"/>
        <family val="1"/>
        <charset val="136"/>
      </rPr>
      <t>年曝險少年交付保護處分之性別與就業情形</t>
    </r>
  </si>
  <si>
    <r>
      <rPr>
        <sz val="12"/>
        <color rgb="FF002060"/>
        <rFont val="新細明體"/>
        <family val="1"/>
        <charset val="136"/>
      </rPr>
      <t>表</t>
    </r>
    <r>
      <rPr>
        <sz val="12"/>
        <color rgb="FF002060"/>
        <rFont val="Times New Roman"/>
        <family val="1"/>
      </rPr>
      <t>3-2-25</t>
    </r>
    <r>
      <rPr>
        <sz val="12"/>
        <color rgb="FF002060"/>
        <rFont val="新細明體"/>
        <family val="1"/>
        <charset val="136"/>
      </rPr>
      <t>　近</t>
    </r>
    <r>
      <rPr>
        <sz val="12"/>
        <color rgb="FF002060"/>
        <rFont val="Times New Roman"/>
        <family val="1"/>
      </rPr>
      <t>10</t>
    </r>
    <r>
      <rPr>
        <sz val="12"/>
        <color rgb="FF002060"/>
        <rFont val="新細明體"/>
        <family val="1"/>
        <charset val="136"/>
      </rPr>
      <t>年曝險少年交付保護處分之家庭經濟狀況</t>
    </r>
  </si>
  <si>
    <r>
      <rPr>
        <sz val="12"/>
        <color rgb="FF002060"/>
        <rFont val="新細明體"/>
        <family val="1"/>
        <charset val="136"/>
      </rPr>
      <t>表</t>
    </r>
    <r>
      <rPr>
        <sz val="12"/>
        <color rgb="FF002060"/>
        <rFont val="Times New Roman"/>
        <family val="1"/>
      </rPr>
      <t>3-2-26</t>
    </r>
    <r>
      <rPr>
        <sz val="12"/>
        <color rgb="FF002060"/>
        <rFont val="新細明體"/>
        <family val="1"/>
        <charset val="136"/>
      </rPr>
      <t>　近</t>
    </r>
    <r>
      <rPr>
        <sz val="12"/>
        <color rgb="FF002060"/>
        <rFont val="Times New Roman"/>
        <family val="1"/>
      </rPr>
      <t>10</t>
    </r>
    <r>
      <rPr>
        <sz val="12"/>
        <color rgb="FF002060"/>
        <rFont val="新細明體"/>
        <family val="1"/>
        <charset val="136"/>
      </rPr>
      <t>年曝險少年交付保護處分之父母現況</t>
    </r>
  </si>
  <si>
    <r>
      <rPr>
        <sz val="12"/>
        <color rgb="FF002060"/>
        <rFont val="新細明體"/>
        <family val="1"/>
        <charset val="136"/>
      </rPr>
      <t>表</t>
    </r>
    <r>
      <rPr>
        <sz val="12"/>
        <color rgb="FF002060"/>
        <rFont val="Times New Roman"/>
        <family val="1"/>
      </rPr>
      <t>3-2-27</t>
    </r>
    <r>
      <rPr>
        <sz val="12"/>
        <color rgb="FF002060"/>
        <rFont val="新細明體"/>
        <family val="1"/>
        <charset val="136"/>
      </rPr>
      <t>　近</t>
    </r>
    <r>
      <rPr>
        <sz val="12"/>
        <color rgb="FF002060"/>
        <rFont val="Times New Roman"/>
        <family val="1"/>
      </rPr>
      <t>10</t>
    </r>
    <r>
      <rPr>
        <sz val="12"/>
        <color rgb="FF002060"/>
        <rFont val="新細明體"/>
        <family val="1"/>
        <charset val="136"/>
      </rPr>
      <t>年曝險少年交付保護處分之父母婚姻狀況</t>
    </r>
  </si>
  <si>
    <r>
      <rPr>
        <sz val="12"/>
        <color theme="1"/>
        <rFont val="新細明體"/>
        <family val="1"/>
        <charset val="136"/>
      </rPr>
      <t>曝險少年</t>
    </r>
    <phoneticPr fontId="2" type="noConversion"/>
  </si>
  <si>
    <r>
      <rPr>
        <sz val="12"/>
        <color theme="1"/>
        <rFont val="新細明體"/>
        <family val="1"/>
        <charset val="136"/>
      </rPr>
      <t>觸法少年</t>
    </r>
    <phoneticPr fontId="2" type="noConversion"/>
  </si>
  <si>
    <r>
      <t xml:space="preserve">§18
</t>
    </r>
    <r>
      <rPr>
        <sz val="12"/>
        <color theme="1"/>
        <rFont val="新細明體"/>
        <family val="1"/>
        <charset val="136"/>
      </rPr>
      <t>（</t>
    </r>
    <r>
      <rPr>
        <sz val="12"/>
        <color theme="1"/>
        <rFont val="Times New Roman"/>
        <family val="1"/>
      </rPr>
      <t>112.07.01</t>
    </r>
    <r>
      <rPr>
        <sz val="12"/>
        <color theme="1"/>
        <rFont val="新細明體"/>
        <family val="1"/>
        <charset val="136"/>
      </rPr>
      <t>施行）</t>
    </r>
    <phoneticPr fontId="2" type="noConversion"/>
  </si>
  <si>
    <r>
      <t>§17</t>
    </r>
    <r>
      <rPr>
        <sz val="12"/>
        <color theme="1"/>
        <rFont val="新細明體"/>
        <family val="1"/>
        <charset val="136"/>
      </rPr>
      <t>、</t>
    </r>
    <r>
      <rPr>
        <sz val="12"/>
        <color theme="1"/>
        <rFont val="Times New Roman"/>
        <family val="1"/>
      </rPr>
      <t>§18</t>
    </r>
    <phoneticPr fontId="2" type="noConversion"/>
  </si>
  <si>
    <r>
      <rPr>
        <sz val="12"/>
        <color theme="1"/>
        <rFont val="新細明體"/>
        <family val="1"/>
        <charset val="136"/>
      </rPr>
      <t>少年輔導委員會</t>
    </r>
    <phoneticPr fontId="2" type="noConversion"/>
  </si>
  <si>
    <r>
      <rPr>
        <sz val="12"/>
        <color theme="1"/>
        <rFont val="新細明體"/>
        <family val="1"/>
        <charset val="136"/>
      </rPr>
      <t>移送少年法院</t>
    </r>
    <phoneticPr fontId="2" type="noConversion"/>
  </si>
  <si>
    <t>§19</t>
    <phoneticPr fontId="2" type="noConversion"/>
  </si>
  <si>
    <t>§26</t>
    <phoneticPr fontId="2" type="noConversion"/>
  </si>
  <si>
    <r>
      <rPr>
        <sz val="12"/>
        <color theme="1"/>
        <rFont val="新細明體"/>
        <family val="1"/>
        <charset val="136"/>
      </rPr>
      <t>少年調查官調查</t>
    </r>
    <r>
      <rPr>
        <b/>
        <sz val="12"/>
        <color theme="1"/>
        <rFont val="新細明體"/>
        <family val="1"/>
        <charset val="136"/>
      </rPr>
      <t/>
    </r>
    <phoneticPr fontId="2" type="noConversion"/>
  </si>
  <si>
    <r>
      <rPr>
        <sz val="12"/>
        <color theme="1"/>
        <rFont val="新細明體"/>
        <family val="1"/>
        <charset val="136"/>
      </rPr>
      <t xml:space="preserve">必要時裁定責付或收容於少年觀護所
</t>
    </r>
    <r>
      <rPr>
        <b/>
        <sz val="12"/>
        <color theme="1"/>
        <rFont val="新細明體"/>
        <family val="1"/>
        <charset val="136"/>
      </rPr>
      <t>關聯數據：</t>
    </r>
    <r>
      <rPr>
        <b/>
        <sz val="12"/>
        <color theme="1"/>
        <rFont val="Times New Roman"/>
        <family val="1"/>
      </rPr>
      <t>3-3-1</t>
    </r>
    <r>
      <rPr>
        <b/>
        <sz val="12"/>
        <color theme="1"/>
        <rFont val="新細明體"/>
        <family val="1"/>
        <charset val="136"/>
      </rPr>
      <t>至</t>
    </r>
    <r>
      <rPr>
        <b/>
        <sz val="12"/>
        <color theme="1"/>
        <rFont val="Times New Roman"/>
        <family val="1"/>
      </rPr>
      <t>3-3-5</t>
    </r>
    <phoneticPr fontId="2" type="noConversion"/>
  </si>
  <si>
    <r>
      <rPr>
        <b/>
        <sz val="12"/>
        <color theme="1"/>
        <rFont val="新細明體"/>
        <family val="1"/>
        <charset val="136"/>
      </rPr>
      <t>關聯數據：</t>
    </r>
    <r>
      <rPr>
        <b/>
        <sz val="12"/>
        <color theme="1"/>
        <rFont val="Times New Roman"/>
        <family val="1"/>
      </rPr>
      <t>3-2-1</t>
    </r>
  </si>
  <si>
    <r>
      <rPr>
        <sz val="12"/>
        <color theme="1"/>
        <rFont val="新細明體"/>
        <family val="1"/>
        <charset val="136"/>
      </rPr>
      <t>不付審理
（</t>
    </r>
    <r>
      <rPr>
        <sz val="12"/>
        <color theme="1"/>
        <rFont val="Times New Roman"/>
        <family val="1"/>
      </rPr>
      <t>§28</t>
    </r>
    <r>
      <rPr>
        <sz val="12"/>
        <color theme="1"/>
        <rFont val="新細明體"/>
        <family val="1"/>
        <charset val="136"/>
      </rPr>
      <t>、</t>
    </r>
    <r>
      <rPr>
        <sz val="12"/>
        <color theme="1"/>
        <rFont val="Times New Roman"/>
        <family val="1"/>
      </rPr>
      <t>§29</t>
    </r>
    <r>
      <rPr>
        <sz val="12"/>
        <color theme="1"/>
        <rFont val="新細明體"/>
        <family val="1"/>
        <charset val="136"/>
      </rPr>
      <t>）</t>
    </r>
    <phoneticPr fontId="2" type="noConversion"/>
  </si>
  <si>
    <r>
      <rPr>
        <sz val="12"/>
        <color theme="1"/>
        <rFont val="新細明體"/>
        <family val="1"/>
        <charset val="136"/>
      </rPr>
      <t>開始審理（</t>
    </r>
    <r>
      <rPr>
        <sz val="12"/>
        <color theme="1"/>
        <rFont val="Times New Roman"/>
        <family val="1"/>
      </rPr>
      <t>§30</t>
    </r>
    <r>
      <rPr>
        <sz val="12"/>
        <color theme="1"/>
        <rFont val="新細明體"/>
        <family val="1"/>
        <charset val="136"/>
      </rPr>
      <t>）</t>
    </r>
    <phoneticPr fontId="2" type="noConversion"/>
  </si>
  <si>
    <r>
      <rPr>
        <sz val="12"/>
        <color theme="1"/>
        <rFont val="新細明體"/>
        <family val="1"/>
        <charset val="136"/>
      </rPr>
      <t>移送地檢署（</t>
    </r>
    <r>
      <rPr>
        <sz val="12"/>
        <color theme="1"/>
        <rFont val="Times New Roman"/>
        <family val="1"/>
      </rPr>
      <t>§27</t>
    </r>
    <r>
      <rPr>
        <sz val="12"/>
        <color theme="1"/>
        <rFont val="新細明體"/>
        <family val="1"/>
        <charset val="136"/>
      </rPr>
      <t>）</t>
    </r>
    <phoneticPr fontId="2" type="noConversion"/>
  </si>
  <si>
    <r>
      <rPr>
        <b/>
        <sz val="12"/>
        <color theme="1"/>
        <rFont val="新細明體"/>
        <family val="1"/>
        <charset val="136"/>
      </rPr>
      <t>關聯數據：</t>
    </r>
    <r>
      <rPr>
        <b/>
        <sz val="12"/>
        <color theme="1"/>
        <rFont val="Times New Roman"/>
        <family val="1"/>
      </rPr>
      <t>3-2-2</t>
    </r>
    <phoneticPr fontId="2" type="noConversion"/>
  </si>
  <si>
    <r>
      <rPr>
        <sz val="12"/>
        <color theme="1"/>
        <rFont val="新細明體"/>
        <family val="1"/>
        <charset val="136"/>
      </rPr>
      <t>不付保護處分
（</t>
    </r>
    <r>
      <rPr>
        <sz val="12"/>
        <color theme="1"/>
        <rFont val="Times New Roman"/>
        <family val="1"/>
      </rPr>
      <t>§41I</t>
    </r>
    <r>
      <rPr>
        <sz val="12"/>
        <color theme="1"/>
        <rFont val="新細明體"/>
        <family val="1"/>
        <charset val="136"/>
      </rPr>
      <t>）</t>
    </r>
    <phoneticPr fontId="2" type="noConversion"/>
  </si>
  <si>
    <r>
      <rPr>
        <sz val="12"/>
        <color theme="1"/>
        <rFont val="新細明體"/>
        <family val="1"/>
        <charset val="136"/>
      </rPr>
      <t>交付保護處分（</t>
    </r>
    <r>
      <rPr>
        <sz val="12"/>
        <color theme="1"/>
        <rFont val="Times New Roman"/>
        <family val="1"/>
      </rPr>
      <t>§42</t>
    </r>
    <r>
      <rPr>
        <sz val="12"/>
        <color theme="1"/>
        <rFont val="新細明體"/>
        <family val="1"/>
        <charset val="136"/>
      </rPr>
      <t xml:space="preserve">）
</t>
    </r>
    <r>
      <rPr>
        <b/>
        <sz val="12"/>
        <color theme="1"/>
        <rFont val="新細明體"/>
        <family val="1"/>
        <charset val="136"/>
      </rPr>
      <t>關聯數據（個案調查）：</t>
    </r>
    <r>
      <rPr>
        <b/>
        <sz val="12"/>
        <color theme="1"/>
        <rFont val="Times New Roman"/>
        <family val="1"/>
      </rPr>
      <t>3-2-5</t>
    </r>
    <r>
      <rPr>
        <b/>
        <sz val="12"/>
        <color theme="1"/>
        <rFont val="新細明體"/>
        <family val="1"/>
        <charset val="136"/>
      </rPr>
      <t>至</t>
    </r>
    <r>
      <rPr>
        <b/>
        <sz val="12"/>
        <color theme="1"/>
        <rFont val="Times New Roman"/>
        <family val="1"/>
      </rPr>
      <t>3-2-12</t>
    </r>
    <r>
      <rPr>
        <b/>
        <sz val="12"/>
        <color theme="1"/>
        <rFont val="新細明體"/>
        <family val="1"/>
        <charset val="136"/>
      </rPr>
      <t>、</t>
    </r>
    <r>
      <rPr>
        <b/>
        <sz val="12"/>
        <color theme="1"/>
        <rFont val="Times New Roman"/>
        <family val="1"/>
      </rPr>
      <t>3-2-21</t>
    </r>
    <r>
      <rPr>
        <b/>
        <sz val="12"/>
        <color theme="1"/>
        <rFont val="新細明體"/>
        <family val="1"/>
        <charset val="136"/>
      </rPr>
      <t>至</t>
    </r>
    <r>
      <rPr>
        <b/>
        <sz val="12"/>
        <color theme="1"/>
        <rFont val="Times New Roman"/>
        <family val="1"/>
      </rPr>
      <t>3-2-27</t>
    </r>
    <phoneticPr fontId="2" type="noConversion"/>
  </si>
  <si>
    <r>
      <rPr>
        <sz val="12"/>
        <color theme="1"/>
        <rFont val="新細明體"/>
        <family val="1"/>
        <charset val="136"/>
      </rPr>
      <t>地檢署</t>
    </r>
    <phoneticPr fontId="2" type="noConversion"/>
  </si>
  <si>
    <r>
      <rPr>
        <sz val="12"/>
        <color theme="1"/>
        <rFont val="新細明體"/>
        <family val="1"/>
        <charset val="136"/>
      </rPr>
      <t>感化教育（</t>
    </r>
    <r>
      <rPr>
        <sz val="12"/>
        <color theme="1"/>
        <rFont val="Times New Roman"/>
        <family val="1"/>
      </rPr>
      <t>§42I</t>
    </r>
    <r>
      <rPr>
        <sz val="12"/>
        <color theme="1"/>
        <rFont val="新細明體"/>
        <family val="1"/>
        <charset val="136"/>
      </rPr>
      <t>）</t>
    </r>
    <phoneticPr fontId="2" type="noConversion"/>
  </si>
  <si>
    <r>
      <rPr>
        <sz val="12"/>
        <color theme="1"/>
        <rFont val="新細明體"/>
        <family val="1"/>
        <charset val="136"/>
      </rPr>
      <t>訓誡、保護管束、安置輔導
（</t>
    </r>
    <r>
      <rPr>
        <sz val="12"/>
        <color theme="1"/>
        <rFont val="Times New Roman"/>
        <family val="1"/>
      </rPr>
      <t>§42I</t>
    </r>
    <r>
      <rPr>
        <sz val="12"/>
        <color theme="1"/>
        <rFont val="新細明體"/>
        <family val="1"/>
        <charset val="136"/>
      </rPr>
      <t>）</t>
    </r>
    <phoneticPr fontId="2" type="noConversion"/>
  </si>
  <si>
    <t xml:space="preserve">   §74</t>
    <phoneticPr fontId="2" type="noConversion"/>
  </si>
  <si>
    <r>
      <rPr>
        <sz val="12"/>
        <color theme="1"/>
        <rFont val="新細明體"/>
        <family val="1"/>
        <charset val="136"/>
      </rPr>
      <t>起訴（</t>
    </r>
    <r>
      <rPr>
        <sz val="12"/>
        <color theme="1"/>
        <rFont val="Times New Roman"/>
        <family val="1"/>
      </rPr>
      <t>§67I</t>
    </r>
    <r>
      <rPr>
        <sz val="12"/>
        <color theme="1"/>
        <rFont val="新細明體"/>
        <family val="1"/>
        <charset val="136"/>
      </rPr>
      <t>後段）</t>
    </r>
    <phoneticPr fontId="2" type="noConversion"/>
  </si>
  <si>
    <r>
      <rPr>
        <sz val="12"/>
        <color theme="1"/>
        <rFont val="新細明體"/>
        <family val="1"/>
        <charset val="136"/>
      </rPr>
      <t>不起訴（</t>
    </r>
    <r>
      <rPr>
        <sz val="12"/>
        <color theme="1"/>
        <rFont val="Times New Roman"/>
        <family val="1"/>
      </rPr>
      <t>§67I</t>
    </r>
    <r>
      <rPr>
        <sz val="12"/>
        <color theme="1"/>
        <rFont val="新細明體"/>
        <family val="1"/>
        <charset val="136"/>
      </rPr>
      <t>前段）</t>
    </r>
    <phoneticPr fontId="2" type="noConversion"/>
  </si>
  <si>
    <r>
      <rPr>
        <sz val="12"/>
        <color theme="1"/>
        <rFont val="新細明體"/>
        <family val="1"/>
        <charset val="136"/>
      </rPr>
      <t xml:space="preserve">少年矯正學校
</t>
    </r>
    <r>
      <rPr>
        <b/>
        <sz val="12"/>
        <color theme="1"/>
        <rFont val="新細明體"/>
        <family val="1"/>
        <charset val="136"/>
      </rPr>
      <t>關聯數據：</t>
    </r>
    <r>
      <rPr>
        <b/>
        <sz val="12"/>
        <color theme="1"/>
        <rFont val="Times New Roman"/>
        <family val="1"/>
      </rPr>
      <t>3-3-6</t>
    </r>
    <r>
      <rPr>
        <b/>
        <sz val="12"/>
        <color theme="1"/>
        <rFont val="新細明體"/>
        <family val="1"/>
        <charset val="136"/>
      </rPr>
      <t>至</t>
    </r>
    <r>
      <rPr>
        <b/>
        <sz val="12"/>
        <color theme="1"/>
        <rFont val="Times New Roman"/>
        <family val="1"/>
      </rPr>
      <t>3-3-12</t>
    </r>
    <phoneticPr fontId="2" type="noConversion"/>
  </si>
  <si>
    <r>
      <rPr>
        <sz val="11"/>
        <color theme="1"/>
        <rFont val="細明體"/>
        <family val="3"/>
        <charset val="136"/>
      </rPr>
      <t>監獄行刑法</t>
    </r>
    <r>
      <rPr>
        <sz val="11"/>
        <color theme="1"/>
        <rFont val="Times New Roman"/>
        <family val="1"/>
      </rPr>
      <t>§4</t>
    </r>
    <phoneticPr fontId="2" type="noConversion"/>
  </si>
  <si>
    <r>
      <rPr>
        <sz val="12"/>
        <color theme="1"/>
        <rFont val="新細明體"/>
        <family val="1"/>
        <charset val="136"/>
      </rPr>
      <t xml:space="preserve">裁判結果
</t>
    </r>
    <r>
      <rPr>
        <b/>
        <sz val="12"/>
        <color theme="1"/>
        <rFont val="新細明體"/>
        <family val="1"/>
        <charset val="136"/>
      </rPr>
      <t>關聯數據：</t>
    </r>
    <r>
      <rPr>
        <b/>
        <sz val="12"/>
        <color theme="1"/>
        <rFont val="Times New Roman"/>
        <family val="1"/>
      </rPr>
      <t>3-2-3</t>
    </r>
    <phoneticPr fontId="2" type="noConversion"/>
  </si>
  <si>
    <r>
      <rPr>
        <sz val="12"/>
        <color theme="1"/>
        <rFont val="新細明體"/>
        <family val="1"/>
        <charset val="136"/>
      </rPr>
      <t>法院審理（</t>
    </r>
    <r>
      <rPr>
        <sz val="12"/>
        <color theme="1"/>
        <rFont val="Times New Roman"/>
        <family val="1"/>
      </rPr>
      <t>§70</t>
    </r>
    <r>
      <rPr>
        <sz val="12"/>
        <color theme="1"/>
        <rFont val="新細明體"/>
        <family val="1"/>
        <charset val="136"/>
      </rPr>
      <t>）</t>
    </r>
    <phoneticPr fontId="2" type="noConversion"/>
  </si>
  <si>
    <r>
      <rPr>
        <b/>
        <sz val="12"/>
        <color theme="1"/>
        <rFont val="細明體"/>
        <family val="3"/>
        <charset val="136"/>
      </rPr>
      <t xml:space="preserve">關聯數據（個案調查）
</t>
    </r>
    <r>
      <rPr>
        <b/>
        <sz val="12"/>
        <color theme="1"/>
        <rFont val="Times New Roman"/>
        <family val="1"/>
      </rPr>
      <t>3-2-13</t>
    </r>
    <r>
      <rPr>
        <b/>
        <sz val="12"/>
        <color theme="1"/>
        <rFont val="細明體"/>
        <family val="3"/>
        <charset val="136"/>
      </rPr>
      <t>至</t>
    </r>
    <r>
      <rPr>
        <b/>
        <sz val="12"/>
        <color theme="1"/>
        <rFont val="Times New Roman"/>
        <family val="1"/>
      </rPr>
      <t>3-2-20</t>
    </r>
    <phoneticPr fontId="2" type="noConversion"/>
  </si>
  <si>
    <r>
      <t>說明：</t>
    </r>
    <r>
      <rPr>
        <sz val="10"/>
        <color theme="1"/>
        <rFont val="Times New Roman"/>
        <family val="1"/>
      </rPr>
      <t xml:space="preserve">1. </t>
    </r>
    <r>
      <rPr>
        <sz val="10"/>
        <color theme="1"/>
        <rFont val="細明體"/>
        <family val="3"/>
        <charset val="136"/>
      </rPr>
      <t>本圖援引法條，如無註記，皆為少年事件處理法。
　　　</t>
    </r>
    <r>
      <rPr>
        <sz val="10"/>
        <color theme="1"/>
        <rFont val="Times New Roman"/>
        <family val="1"/>
      </rPr>
      <t xml:space="preserve">2. </t>
    </r>
    <r>
      <rPr>
        <sz val="10"/>
        <color theme="1"/>
        <rFont val="細明體"/>
        <family val="3"/>
        <charset val="136"/>
      </rPr>
      <t>為能讓讀者瞭解本篇數據統計階段與範圍，本圖僅列示與本篇數據關聯的處理程序。</t>
    </r>
    <phoneticPr fontId="2" type="noConversion"/>
  </si>
  <si>
    <r>
      <rPr>
        <sz val="15"/>
        <color rgb="FF000000"/>
        <rFont val="新細明體"/>
        <family val="1"/>
        <charset val="136"/>
      </rPr>
      <t>表</t>
    </r>
    <r>
      <rPr>
        <sz val="15"/>
        <color rgb="FF000000"/>
        <rFont val="Times New Roman"/>
        <family val="1"/>
      </rPr>
      <t>3-2-1    112</t>
    </r>
    <r>
      <rPr>
        <sz val="15"/>
        <color rgb="FF000000"/>
        <rFont val="新細明體"/>
        <family val="1"/>
        <charset val="136"/>
      </rPr>
      <t>年少年事件調查收結情形</t>
    </r>
    <phoneticPr fontId="3" type="noConversion"/>
  </si>
  <si>
    <r>
      <t>111</t>
    </r>
    <r>
      <rPr>
        <sz val="12"/>
        <rFont val="新細明體"/>
        <family val="1"/>
        <charset val="136"/>
      </rPr>
      <t>年</t>
    </r>
    <phoneticPr fontId="2" type="noConversion"/>
  </si>
  <si>
    <r>
      <t>112</t>
    </r>
    <r>
      <rPr>
        <sz val="12"/>
        <rFont val="Microsoft JhengHei"/>
        <family val="1"/>
      </rPr>
      <t>年</t>
    </r>
    <phoneticPr fontId="2" type="noConversion"/>
  </si>
  <si>
    <t>-</t>
    <phoneticPr fontId="2" type="noConversion"/>
  </si>
  <si>
    <r>
      <t>112</t>
    </r>
    <r>
      <rPr>
        <sz val="12"/>
        <color theme="1"/>
        <rFont val="Microsoft JhengHei"/>
        <family val="1"/>
      </rPr>
      <t>年</t>
    </r>
    <phoneticPr fontId="20" type="noConversion"/>
  </si>
  <si>
    <r>
      <t>112</t>
    </r>
    <r>
      <rPr>
        <sz val="12"/>
        <rFont val="PMingLiU"/>
        <family val="1"/>
        <charset val="136"/>
      </rPr>
      <t>年</t>
    </r>
    <phoneticPr fontId="2" type="noConversion"/>
  </si>
  <si>
    <r>
      <t>107年</t>
    </r>
    <r>
      <rPr>
        <sz val="12"/>
        <color theme="1"/>
        <rFont val="新細明體"/>
        <family val="2"/>
        <charset val="136"/>
        <scheme val="minor"/>
      </rPr>
      <t/>
    </r>
    <phoneticPr fontId="3" type="noConversion"/>
  </si>
  <si>
    <r>
      <rPr>
        <sz val="15"/>
        <color theme="1"/>
        <rFont val="新細明體"/>
        <family val="1"/>
        <charset val="136"/>
      </rPr>
      <t>表</t>
    </r>
    <r>
      <rPr>
        <sz val="15"/>
        <color theme="1"/>
        <rFont val="Times New Roman"/>
        <family val="1"/>
      </rPr>
      <t>3-2-7</t>
    </r>
    <r>
      <rPr>
        <sz val="15"/>
        <color theme="1"/>
        <rFont val="新細明體"/>
        <family val="1"/>
        <charset val="136"/>
      </rPr>
      <t>　</t>
    </r>
    <r>
      <rPr>
        <sz val="15"/>
        <color theme="1"/>
        <rFont val="Times New Roman"/>
        <family val="1"/>
      </rPr>
      <t>112</t>
    </r>
    <r>
      <rPr>
        <sz val="15"/>
        <color theme="1"/>
        <rFont val="新細明體"/>
        <family val="1"/>
        <charset val="136"/>
      </rPr>
      <t>年觸法少年交付保護處分之年齡與主要罪名</t>
    </r>
    <phoneticPr fontId="37" type="noConversion"/>
  </si>
  <si>
    <r>
      <t>112</t>
    </r>
    <r>
      <rPr>
        <sz val="12"/>
        <color theme="1"/>
        <rFont val="新細明體"/>
        <family val="1"/>
        <charset val="136"/>
      </rPr>
      <t>年</t>
    </r>
    <phoneticPr fontId="3" type="noConversion"/>
  </si>
  <si>
    <r>
      <t>112</t>
    </r>
    <r>
      <rPr>
        <sz val="12"/>
        <rFont val="新細明體"/>
        <family val="1"/>
        <charset val="136"/>
      </rPr>
      <t>年</t>
    </r>
    <phoneticPr fontId="3" type="noConversion"/>
  </si>
  <si>
    <r>
      <t>112</t>
    </r>
    <r>
      <rPr>
        <sz val="12"/>
        <rFont val="新細明體"/>
        <family val="1"/>
        <charset val="136"/>
      </rPr>
      <t>年</t>
    </r>
    <phoneticPr fontId="2" type="noConversion"/>
  </si>
  <si>
    <r>
      <rPr>
        <sz val="15"/>
        <color theme="1"/>
        <rFont val="細明體"/>
        <family val="3"/>
        <charset val="136"/>
      </rPr>
      <t>表</t>
    </r>
    <r>
      <rPr>
        <sz val="15"/>
        <color theme="1"/>
        <rFont val="Times New Roman"/>
        <family val="1"/>
      </rPr>
      <t>3-2-15</t>
    </r>
    <r>
      <rPr>
        <sz val="15"/>
        <color theme="1"/>
        <rFont val="細明體"/>
        <family val="3"/>
        <charset val="136"/>
      </rPr>
      <t>　</t>
    </r>
    <r>
      <rPr>
        <sz val="15"/>
        <color theme="1"/>
        <rFont val="Times New Roman"/>
        <family val="1"/>
      </rPr>
      <t>112</t>
    </r>
    <r>
      <rPr>
        <sz val="15"/>
        <color theme="1"/>
        <rFont val="細明體"/>
        <family val="3"/>
        <charset val="136"/>
      </rPr>
      <t>年少年刑事案件之年齡、性別與罪名</t>
    </r>
    <phoneticPr fontId="3" type="noConversion"/>
  </si>
  <si>
    <r>
      <t>112</t>
    </r>
    <r>
      <rPr>
        <sz val="12"/>
        <rFont val="細明體"/>
        <family val="3"/>
        <charset val="136"/>
      </rPr>
      <t>年</t>
    </r>
    <phoneticPr fontId="2" type="noConversion"/>
  </si>
  <si>
    <r>
      <t>112</t>
    </r>
    <r>
      <rPr>
        <sz val="12"/>
        <color theme="1"/>
        <rFont val="新細明體"/>
        <family val="2"/>
        <charset val="136"/>
      </rPr>
      <t>年</t>
    </r>
    <phoneticPr fontId="2" type="noConversion"/>
  </si>
  <si>
    <r>
      <t>112</t>
    </r>
    <r>
      <rPr>
        <sz val="12"/>
        <color theme="1"/>
        <rFont val="新細明體"/>
        <family val="2"/>
        <charset val="136"/>
      </rPr>
      <t>年</t>
    </r>
    <phoneticPr fontId="2" type="noConversion"/>
  </si>
  <si>
    <r>
      <t>112</t>
    </r>
    <r>
      <rPr>
        <sz val="12"/>
        <color theme="1"/>
        <rFont val="新細明體"/>
        <family val="1"/>
        <charset val="136"/>
      </rPr>
      <t>年</t>
    </r>
    <phoneticPr fontId="2" type="noConversion"/>
  </si>
  <si>
    <r>
      <t>112</t>
    </r>
    <r>
      <rPr>
        <sz val="12"/>
        <color theme="1"/>
        <rFont val="PMingLiU"/>
        <family val="1"/>
        <charset val="136"/>
      </rPr>
      <t>年</t>
    </r>
    <phoneticPr fontId="2" type="noConversion"/>
  </si>
  <si>
    <r>
      <t>112</t>
    </r>
    <r>
      <rPr>
        <sz val="12"/>
        <rFont val="PMingLiU"/>
        <family val="1"/>
        <charset val="136"/>
      </rPr>
      <t>年底</t>
    </r>
    <phoneticPr fontId="2" type="noConversion"/>
  </si>
  <si>
    <r>
      <t>107</t>
    </r>
    <r>
      <rPr>
        <sz val="12"/>
        <color theme="1"/>
        <rFont val="新細明體"/>
        <family val="2"/>
        <charset val="136"/>
      </rPr>
      <t>年</t>
    </r>
    <phoneticPr fontId="2" type="noConversion"/>
  </si>
  <si>
    <r>
      <rPr>
        <sz val="15"/>
        <rFont val="新細明體"/>
        <family val="1"/>
        <charset val="136"/>
      </rPr>
      <t>表</t>
    </r>
    <r>
      <rPr>
        <sz val="15"/>
        <rFont val="Times New Roman"/>
        <family val="1"/>
      </rPr>
      <t>3-2-3      112</t>
    </r>
    <r>
      <rPr>
        <sz val="15"/>
        <rFont val="新細明體"/>
        <family val="1"/>
        <charset val="136"/>
      </rPr>
      <t>年少年刑事案件裁判結果</t>
    </r>
    <phoneticPr fontId="3" type="noConversion"/>
  </si>
  <si>
    <t>-</t>
    <phoneticPr fontId="3" type="noConversion"/>
  </si>
  <si>
    <t>組織犯罪防制條例</t>
    <phoneticPr fontId="3" type="noConversion"/>
  </si>
  <si>
    <t>銀行法</t>
    <phoneticPr fontId="3" type="noConversion"/>
  </si>
  <si>
    <t>妨害秩序罪</t>
    <phoneticPr fontId="3" type="noConversion"/>
  </si>
  <si>
    <t>洗錢防制法</t>
    <phoneticPr fontId="3" type="noConversion"/>
  </si>
  <si>
    <t>侵占罪</t>
    <phoneticPr fontId="3" type="noConversion"/>
  </si>
  <si>
    <t>妨害性隱私及不實性影像罪</t>
  </si>
  <si>
    <t>遺棄罪</t>
    <phoneticPr fontId="2" type="noConversion"/>
  </si>
  <si>
    <t>%</t>
    <phoneticPr fontId="2" type="noConversion"/>
  </si>
  <si>
    <r>
      <rPr>
        <sz val="10"/>
        <color theme="1"/>
        <rFont val="新細明體"/>
        <family val="1"/>
        <charset val="136"/>
      </rPr>
      <t>說　　明：</t>
    </r>
    <r>
      <rPr>
        <sz val="10"/>
        <color theme="1"/>
        <rFont val="Times New Roman"/>
        <family val="1"/>
      </rPr>
      <t xml:space="preserve">1. </t>
    </r>
    <r>
      <rPr>
        <sz val="10"/>
        <color theme="1"/>
        <rFont val="新細明體"/>
        <family val="1"/>
        <charset val="136"/>
      </rPr>
      <t>本表保護事件、虞犯</t>
    </r>
    <r>
      <rPr>
        <sz val="10"/>
        <color theme="1"/>
        <rFont val="Times New Roman"/>
        <family val="1"/>
      </rPr>
      <t>/</t>
    </r>
    <r>
      <rPr>
        <sz val="10"/>
        <color theme="1"/>
        <rFont val="新細明體"/>
        <family val="1"/>
        <charset val="136"/>
      </rPr>
      <t>曝險，皆指當年度經法院裁定交付保護且經個案調查的少年。</t>
    </r>
    <r>
      <rPr>
        <sz val="10"/>
        <color theme="1"/>
        <rFont val="Times New Roman"/>
        <family val="1"/>
      </rPr>
      <t xml:space="preserve">
</t>
    </r>
    <r>
      <rPr>
        <sz val="10"/>
        <color theme="1"/>
        <rFont val="新細明體"/>
        <family val="1"/>
        <charset val="136"/>
      </rPr>
      <t>　　　　　</t>
    </r>
    <r>
      <rPr>
        <sz val="10"/>
        <color theme="1"/>
        <rFont val="Times New Roman"/>
        <family val="1"/>
      </rPr>
      <t xml:space="preserve">2. </t>
    </r>
    <r>
      <rPr>
        <sz val="10"/>
        <color theme="1"/>
        <rFont val="新細明體"/>
        <family val="1"/>
        <charset val="136"/>
      </rPr>
      <t>本表刑事案件，係指當年度經法院裁判且經個案調查的少年。</t>
    </r>
    <r>
      <rPr>
        <sz val="10"/>
        <color theme="1"/>
        <rFont val="Times New Roman"/>
        <family val="1"/>
      </rPr>
      <t xml:space="preserve">
</t>
    </r>
    <r>
      <rPr>
        <sz val="10"/>
        <color theme="1"/>
        <rFont val="新細明體"/>
        <family val="1"/>
        <charset val="136"/>
      </rPr>
      <t>　　　　　</t>
    </r>
    <r>
      <rPr>
        <b/>
        <sz val="10"/>
        <color theme="1"/>
        <rFont val="Times New Roman"/>
        <family val="1"/>
      </rPr>
      <t xml:space="preserve">3. </t>
    </r>
    <r>
      <rPr>
        <b/>
        <sz val="10"/>
        <color theme="1"/>
        <rFont val="新細明體"/>
        <family val="1"/>
        <charset val="136"/>
      </rPr>
      <t>本表指數以</t>
    </r>
    <r>
      <rPr>
        <b/>
        <sz val="10"/>
        <color theme="1"/>
        <rFont val="Times New Roman"/>
        <family val="1"/>
      </rPr>
      <t>103</t>
    </r>
    <r>
      <rPr>
        <b/>
        <sz val="10"/>
        <color theme="1"/>
        <rFont val="新細明體"/>
        <family val="1"/>
        <charset val="136"/>
      </rPr>
      <t>年為比較基準</t>
    </r>
    <r>
      <rPr>
        <sz val="10"/>
        <color theme="1"/>
        <rFont val="新細明體"/>
        <family val="1"/>
        <charset val="136"/>
      </rPr>
      <t>。</t>
    </r>
    <r>
      <rPr>
        <sz val="10"/>
        <color theme="1"/>
        <rFont val="Times New Roman"/>
        <family val="1"/>
      </rPr>
      <t xml:space="preserve">
</t>
    </r>
    <r>
      <rPr>
        <sz val="10"/>
        <color theme="1"/>
        <rFont val="新細明體"/>
        <family val="1"/>
        <charset val="136"/>
      </rPr>
      <t>　　　　　</t>
    </r>
    <r>
      <rPr>
        <sz val="10"/>
        <color theme="1"/>
        <rFont val="Times New Roman"/>
        <family val="1"/>
      </rPr>
      <t xml:space="preserve">4. </t>
    </r>
    <r>
      <rPr>
        <sz val="10"/>
        <color theme="1"/>
        <rFont val="新細明體"/>
        <family val="1"/>
        <charset val="136"/>
      </rPr>
      <t>本表虞犯</t>
    </r>
    <r>
      <rPr>
        <sz val="10"/>
        <color theme="1"/>
        <rFont val="Times New Roman"/>
        <family val="1"/>
      </rPr>
      <t>/</t>
    </r>
    <r>
      <rPr>
        <sz val="10"/>
        <color theme="1"/>
        <rFont val="新細明體"/>
        <family val="1"/>
        <charset val="136"/>
      </rPr>
      <t>曝險欄，以</t>
    </r>
    <r>
      <rPr>
        <sz val="10"/>
        <color theme="1"/>
        <rFont val="Times New Roman"/>
        <family val="1"/>
      </rPr>
      <t>108</t>
    </r>
    <r>
      <rPr>
        <sz val="10"/>
        <color theme="1"/>
        <rFont val="新細明體"/>
        <family val="1"/>
        <charset val="136"/>
      </rPr>
      <t>年</t>
    </r>
    <r>
      <rPr>
        <sz val="10"/>
        <color theme="1"/>
        <rFont val="Times New Roman"/>
        <family val="1"/>
      </rPr>
      <t>6</t>
    </r>
    <r>
      <rPr>
        <sz val="10"/>
        <color theme="1"/>
        <rFont val="新細明體"/>
        <family val="1"/>
        <charset val="136"/>
      </rPr>
      <t>月</t>
    </r>
    <r>
      <rPr>
        <sz val="10"/>
        <color theme="1"/>
        <rFont val="Times New Roman"/>
        <family val="1"/>
      </rPr>
      <t>19</t>
    </r>
    <r>
      <rPr>
        <sz val="10"/>
        <color theme="1"/>
        <rFont val="新細明體"/>
        <family val="1"/>
        <charset val="136"/>
      </rPr>
      <t>日少事法修法施行前為虞犯少年，其後則為曝險少年。</t>
    </r>
    <phoneticPr fontId="3" type="noConversion"/>
  </si>
  <si>
    <r>
      <rPr>
        <b/>
        <u/>
        <sz val="12"/>
        <color rgb="FF0070C0"/>
        <rFont val="新細明體"/>
        <family val="1"/>
        <charset val="136"/>
      </rPr>
      <t>回本篇表次</t>
    </r>
  </si>
  <si>
    <r>
      <rPr>
        <sz val="10"/>
        <rFont val="Microsoft JhengHei"/>
        <family val="1"/>
      </rPr>
      <t>人</t>
    </r>
    <phoneticPr fontId="2" type="noConversion"/>
  </si>
  <si>
    <r>
      <rPr>
        <sz val="12"/>
        <rFont val="細明體"/>
        <family val="3"/>
        <charset val="136"/>
      </rPr>
      <t>詐欺</t>
    </r>
    <phoneticPr fontId="2" type="noConversion"/>
  </si>
  <si>
    <r>
      <rPr>
        <sz val="12"/>
        <rFont val="細明體"/>
        <family val="3"/>
        <charset val="136"/>
      </rPr>
      <t>一般傷害</t>
    </r>
    <phoneticPr fontId="2" type="noConversion"/>
  </si>
  <si>
    <r>
      <rPr>
        <sz val="12"/>
        <color theme="1"/>
        <rFont val="新細明體"/>
        <family val="2"/>
        <charset val="136"/>
      </rPr>
      <t>偽造貨幣</t>
    </r>
  </si>
  <si>
    <r>
      <rPr>
        <sz val="12"/>
        <rFont val="細明體"/>
        <family val="3"/>
        <charset val="136"/>
      </rPr>
      <t>背信</t>
    </r>
    <phoneticPr fontId="2" type="noConversion"/>
  </si>
  <si>
    <r>
      <rPr>
        <sz val="12"/>
        <rFont val="細明體"/>
        <family val="3"/>
        <charset val="136"/>
      </rPr>
      <t>選罷法</t>
    </r>
    <phoneticPr fontId="2" type="noConversion"/>
  </si>
  <si>
    <r>
      <rPr>
        <sz val="12"/>
        <rFont val="細明體"/>
        <family val="3"/>
        <charset val="136"/>
      </rPr>
      <t>重傷害</t>
    </r>
    <phoneticPr fontId="2" type="noConversion"/>
  </si>
  <si>
    <r>
      <rPr>
        <sz val="12"/>
        <rFont val="細明體"/>
        <family val="3"/>
        <charset val="136"/>
      </rPr>
      <t>藥事法</t>
    </r>
    <phoneticPr fontId="2" type="noConversion"/>
  </si>
  <si>
    <r>
      <rPr>
        <sz val="12"/>
        <rFont val="細明體"/>
        <family val="3"/>
        <charset val="136"/>
      </rPr>
      <t>就業服務法</t>
    </r>
    <phoneticPr fontId="2" type="noConversion"/>
  </si>
  <si>
    <r>
      <rPr>
        <sz val="10"/>
        <rFont val="細明體"/>
        <family val="3"/>
        <charset val="136"/>
      </rPr>
      <t>資料來源：內政部警政署刑事警察局、內政統計查詢網。</t>
    </r>
    <phoneticPr fontId="2" type="noConversion"/>
  </si>
  <si>
    <r>
      <rPr>
        <sz val="10"/>
        <rFont val="新細明體"/>
        <family val="1"/>
        <charset val="136"/>
      </rPr>
      <t>　　　　　</t>
    </r>
    <r>
      <rPr>
        <sz val="10"/>
        <rFont val="Times New Roman"/>
        <family val="1"/>
      </rPr>
      <t>4. 112</t>
    </r>
    <r>
      <rPr>
        <sz val="10"/>
        <rFont val="新細明體"/>
        <family val="1"/>
        <charset val="136"/>
      </rPr>
      <t>年保護管束含：保護管束</t>
    </r>
    <r>
      <rPr>
        <sz val="10"/>
        <rFont val="Times New Roman"/>
        <family val="1"/>
      </rPr>
      <t>3,477</t>
    </r>
    <r>
      <rPr>
        <sz val="10"/>
        <rFont val="新細明體"/>
        <family val="1"/>
        <charset val="136"/>
      </rPr>
      <t>人、保護管束並令勞動服務</t>
    </r>
    <r>
      <rPr>
        <sz val="10"/>
        <rFont val="Times New Roman"/>
        <family val="1"/>
      </rPr>
      <t>536</t>
    </r>
    <r>
      <rPr>
        <sz val="10"/>
        <rFont val="新細明體"/>
        <family val="1"/>
        <charset val="136"/>
      </rPr>
      <t>人。</t>
    </r>
    <phoneticPr fontId="3" type="noConversion"/>
  </si>
  <si>
    <r>
      <rPr>
        <sz val="12"/>
        <color theme="1"/>
        <rFont val="新細明體"/>
        <family val="2"/>
        <charset val="136"/>
      </rPr>
      <t>終結件數</t>
    </r>
    <phoneticPr fontId="3" type="noConversion"/>
  </si>
  <si>
    <r>
      <rPr>
        <sz val="12"/>
        <color theme="1"/>
        <rFont val="新細明體"/>
        <family val="2"/>
        <charset val="136"/>
      </rPr>
      <t>終結人數</t>
    </r>
    <phoneticPr fontId="3" type="noConversion"/>
  </si>
  <si>
    <r>
      <rPr>
        <sz val="12"/>
        <color theme="1"/>
        <rFont val="新細明體"/>
        <family val="2"/>
        <charset val="136"/>
      </rPr>
      <t>交付保護處分</t>
    </r>
    <phoneticPr fontId="3" type="noConversion"/>
  </si>
  <si>
    <r>
      <rPr>
        <sz val="12"/>
        <color theme="1"/>
        <rFont val="新細明體"/>
        <family val="2"/>
        <charset val="136"/>
      </rPr>
      <t>協尋</t>
    </r>
    <phoneticPr fontId="3" type="noConversion"/>
  </si>
  <si>
    <r>
      <rPr>
        <sz val="12"/>
        <color theme="1"/>
        <rFont val="新細明體"/>
        <family val="2"/>
        <charset val="136"/>
      </rPr>
      <t>併辦</t>
    </r>
    <phoneticPr fontId="3" type="noConversion"/>
  </si>
  <si>
    <r>
      <rPr>
        <sz val="12"/>
        <color theme="1"/>
        <rFont val="新細明體"/>
        <family val="2"/>
        <charset val="136"/>
      </rPr>
      <t>小計</t>
    </r>
    <phoneticPr fontId="3" type="noConversion"/>
  </si>
  <si>
    <r>
      <rPr>
        <sz val="12"/>
        <color theme="1"/>
        <rFont val="新細明體"/>
        <family val="2"/>
        <charset val="136"/>
      </rPr>
      <t>訓誡</t>
    </r>
    <phoneticPr fontId="3" type="noConversion"/>
  </si>
  <si>
    <r>
      <rPr>
        <sz val="12"/>
        <color theme="1"/>
        <rFont val="新細明體"/>
        <family val="2"/>
        <charset val="136"/>
      </rPr>
      <t>保護管束</t>
    </r>
    <phoneticPr fontId="3" type="noConversion"/>
  </si>
  <si>
    <r>
      <rPr>
        <sz val="12"/>
        <color theme="1"/>
        <rFont val="新細明體"/>
        <family val="2"/>
        <charset val="136"/>
      </rPr>
      <t>感化教育</t>
    </r>
    <phoneticPr fontId="3" type="noConversion"/>
  </si>
  <si>
    <r>
      <rPr>
        <sz val="12"/>
        <color theme="1"/>
        <rFont val="新細明體"/>
        <family val="2"/>
        <charset val="136"/>
      </rPr>
      <t>安置輔導</t>
    </r>
    <phoneticPr fontId="3" type="noConversion"/>
  </si>
  <si>
    <r>
      <rPr>
        <sz val="10"/>
        <rFont val="新細明體"/>
        <family val="1"/>
        <charset val="136"/>
      </rPr>
      <t>　　　　　</t>
    </r>
    <r>
      <rPr>
        <sz val="10"/>
        <rFont val="Times New Roman"/>
        <family val="1"/>
      </rPr>
      <t>3. 112</t>
    </r>
    <r>
      <rPr>
        <sz val="10"/>
        <rFont val="新細明體"/>
        <family val="1"/>
        <charset val="136"/>
      </rPr>
      <t>年訓誡含：訓誡</t>
    </r>
    <r>
      <rPr>
        <sz val="10"/>
        <rFont val="Times New Roman"/>
        <family val="1"/>
      </rPr>
      <t>2,159</t>
    </r>
    <r>
      <rPr>
        <sz val="10"/>
        <rFont val="新細明體"/>
        <family val="1"/>
        <charset val="136"/>
      </rPr>
      <t>人、訓誡並予假日生活輔導</t>
    </r>
    <r>
      <rPr>
        <sz val="10"/>
        <rFont val="Times New Roman"/>
        <family val="1"/>
      </rPr>
      <t>2,599</t>
    </r>
    <r>
      <rPr>
        <sz val="10"/>
        <rFont val="新細明體"/>
        <family val="1"/>
        <charset val="136"/>
      </rPr>
      <t>人。</t>
    </r>
    <phoneticPr fontId="3" type="noConversion"/>
  </si>
  <si>
    <r>
      <rPr>
        <sz val="12"/>
        <color theme="1"/>
        <rFont val="新細明體"/>
        <family val="2"/>
        <charset val="136"/>
      </rPr>
      <t>終</t>
    </r>
    <r>
      <rPr>
        <sz val="12"/>
        <rFont val="Times New Roman"/>
        <family val="1"/>
      </rPr>
      <t xml:space="preserve">   </t>
    </r>
    <r>
      <rPr>
        <sz val="12"/>
        <color theme="1"/>
        <rFont val="新細明體"/>
        <family val="2"/>
        <charset val="136"/>
      </rPr>
      <t>結</t>
    </r>
    <r>
      <rPr>
        <sz val="12"/>
        <rFont val="Times New Roman"/>
        <family val="1"/>
      </rPr>
      <t xml:space="preserve">   </t>
    </r>
    <r>
      <rPr>
        <sz val="12"/>
        <color theme="1"/>
        <rFont val="新細明體"/>
        <family val="2"/>
        <charset val="136"/>
      </rPr>
      <t>件</t>
    </r>
    <r>
      <rPr>
        <sz val="12"/>
        <rFont val="Times New Roman"/>
        <family val="1"/>
      </rPr>
      <t xml:space="preserve">   </t>
    </r>
    <r>
      <rPr>
        <sz val="12"/>
        <color theme="1"/>
        <rFont val="新細明體"/>
        <family val="2"/>
        <charset val="136"/>
      </rPr>
      <t>數</t>
    </r>
    <phoneticPr fontId="3" type="noConversion"/>
  </si>
  <si>
    <r>
      <rPr>
        <sz val="12"/>
        <color theme="1"/>
        <rFont val="新細明體"/>
        <family val="2"/>
        <charset val="136"/>
      </rPr>
      <t>被</t>
    </r>
    <r>
      <rPr>
        <sz val="12"/>
        <rFont val="Times New Roman"/>
        <family val="1"/>
      </rPr>
      <t xml:space="preserve"> </t>
    </r>
    <r>
      <rPr>
        <sz val="12"/>
        <color theme="1"/>
        <rFont val="新細明體"/>
        <family val="2"/>
        <charset val="136"/>
      </rPr>
      <t>告</t>
    </r>
    <r>
      <rPr>
        <sz val="12"/>
        <rFont val="Times New Roman"/>
        <family val="1"/>
      </rPr>
      <t xml:space="preserve"> </t>
    </r>
    <r>
      <rPr>
        <sz val="12"/>
        <color theme="1"/>
        <rFont val="新細明體"/>
        <family val="2"/>
        <charset val="136"/>
      </rPr>
      <t>人</t>
    </r>
    <r>
      <rPr>
        <sz val="12"/>
        <rFont val="Times New Roman"/>
        <family val="1"/>
      </rPr>
      <t xml:space="preserve"> </t>
    </r>
    <r>
      <rPr>
        <sz val="12"/>
        <color theme="1"/>
        <rFont val="新細明體"/>
        <family val="2"/>
        <charset val="136"/>
      </rPr>
      <t>數</t>
    </r>
    <phoneticPr fontId="3" type="noConversion"/>
  </si>
  <si>
    <r>
      <rPr>
        <sz val="12"/>
        <color theme="1"/>
        <rFont val="新細明體"/>
        <family val="2"/>
        <charset val="136"/>
      </rPr>
      <t>科刑小計</t>
    </r>
    <phoneticPr fontId="3" type="noConversion"/>
  </si>
  <si>
    <r>
      <rPr>
        <sz val="12"/>
        <color theme="1"/>
        <rFont val="新細明體"/>
        <family val="2"/>
        <charset val="136"/>
      </rPr>
      <t>有期徒刑小計</t>
    </r>
    <phoneticPr fontId="3" type="noConversion"/>
  </si>
  <si>
    <r>
      <rPr>
        <sz val="12"/>
        <color theme="1"/>
        <rFont val="新細明體"/>
        <family val="2"/>
        <charset val="136"/>
      </rPr>
      <t>六月以下</t>
    </r>
    <phoneticPr fontId="3" type="noConversion"/>
  </si>
  <si>
    <r>
      <rPr>
        <sz val="12"/>
        <color theme="1"/>
        <rFont val="新細明體"/>
        <family val="2"/>
        <charset val="136"/>
      </rPr>
      <t>逾六月至一年以下</t>
    </r>
    <phoneticPr fontId="3" type="noConversion"/>
  </si>
  <si>
    <r>
      <rPr>
        <sz val="12"/>
        <color theme="1"/>
        <rFont val="新細明體"/>
        <family val="2"/>
        <charset val="136"/>
      </rPr>
      <t>逾一年至二年以下</t>
    </r>
    <phoneticPr fontId="3" type="noConversion"/>
  </si>
  <si>
    <r>
      <rPr>
        <sz val="12"/>
        <color theme="1"/>
        <rFont val="新細明體"/>
        <family val="2"/>
        <charset val="136"/>
      </rPr>
      <t>逾二年至三年以下</t>
    </r>
    <phoneticPr fontId="3" type="noConversion"/>
  </si>
  <si>
    <r>
      <rPr>
        <sz val="12"/>
        <color theme="1"/>
        <rFont val="新細明體"/>
        <family val="2"/>
        <charset val="136"/>
      </rPr>
      <t>逾三年至五年以下</t>
    </r>
    <phoneticPr fontId="3" type="noConversion"/>
  </si>
  <si>
    <r>
      <rPr>
        <sz val="12"/>
        <color theme="1"/>
        <rFont val="新細明體"/>
        <family val="2"/>
        <charset val="136"/>
      </rPr>
      <t>逾五年至七年以下</t>
    </r>
    <phoneticPr fontId="3" type="noConversion"/>
  </si>
  <si>
    <r>
      <rPr>
        <sz val="12"/>
        <color theme="1"/>
        <rFont val="新細明體"/>
        <family val="2"/>
        <charset val="136"/>
      </rPr>
      <t>逾七年至十年以下</t>
    </r>
    <phoneticPr fontId="3" type="noConversion"/>
  </si>
  <si>
    <r>
      <rPr>
        <sz val="12"/>
        <color theme="1"/>
        <rFont val="新細明體"/>
        <family val="2"/>
        <charset val="136"/>
      </rPr>
      <t>逾十年至十五年以下</t>
    </r>
    <phoneticPr fontId="3" type="noConversion"/>
  </si>
  <si>
    <r>
      <rPr>
        <sz val="12"/>
        <color theme="1"/>
        <rFont val="新細明體"/>
        <family val="2"/>
        <charset val="136"/>
      </rPr>
      <t>逾十五年</t>
    </r>
    <phoneticPr fontId="3" type="noConversion"/>
  </si>
  <si>
    <r>
      <rPr>
        <sz val="12"/>
        <color theme="1"/>
        <rFont val="新細明體"/>
        <family val="2"/>
        <charset val="136"/>
      </rPr>
      <t>拘役</t>
    </r>
    <phoneticPr fontId="3" type="noConversion"/>
  </si>
  <si>
    <r>
      <rPr>
        <sz val="12"/>
        <color theme="1"/>
        <rFont val="新細明體"/>
        <family val="2"/>
        <charset val="136"/>
      </rPr>
      <t>罰金</t>
    </r>
    <phoneticPr fontId="3" type="noConversion"/>
  </si>
  <si>
    <r>
      <rPr>
        <sz val="12"/>
        <color theme="1"/>
        <rFont val="新細明體"/>
        <family val="2"/>
        <charset val="136"/>
      </rPr>
      <t>免除其刑</t>
    </r>
    <phoneticPr fontId="3" type="noConversion"/>
  </si>
  <si>
    <r>
      <rPr>
        <sz val="12"/>
        <color theme="1"/>
        <rFont val="新細明體"/>
        <family val="2"/>
        <charset val="136"/>
      </rPr>
      <t>免除其刑並交付保護處分</t>
    </r>
    <phoneticPr fontId="3" type="noConversion"/>
  </si>
  <si>
    <r>
      <rPr>
        <sz val="12"/>
        <color theme="1"/>
        <rFont val="新細明體"/>
        <family val="2"/>
        <charset val="136"/>
      </rPr>
      <t>不受理</t>
    </r>
    <phoneticPr fontId="3" type="noConversion"/>
  </si>
  <si>
    <r>
      <rPr>
        <sz val="12"/>
        <color theme="1"/>
        <rFont val="新細明體"/>
        <family val="2"/>
        <charset val="136"/>
      </rPr>
      <t>免訴</t>
    </r>
    <phoneticPr fontId="3" type="noConversion"/>
  </si>
  <si>
    <r>
      <rPr>
        <sz val="12"/>
        <color theme="1"/>
        <rFont val="新細明體"/>
        <family val="2"/>
        <charset val="136"/>
      </rPr>
      <t>無罪</t>
    </r>
    <phoneticPr fontId="3" type="noConversion"/>
  </si>
  <si>
    <r>
      <rPr>
        <sz val="12"/>
        <color theme="1"/>
        <rFont val="新細明體"/>
        <family val="2"/>
        <charset val="136"/>
      </rPr>
      <t>管轄錯誤</t>
    </r>
    <phoneticPr fontId="3" type="noConversion"/>
  </si>
  <si>
    <r>
      <rPr>
        <sz val="12"/>
        <color theme="1"/>
        <rFont val="新細明體"/>
        <family val="2"/>
        <charset val="136"/>
      </rPr>
      <t>通緝</t>
    </r>
    <phoneticPr fontId="3" type="noConversion"/>
  </si>
  <si>
    <r>
      <rPr>
        <sz val="12"/>
        <color theme="1"/>
        <rFont val="新細明體"/>
        <family val="2"/>
        <charset val="136"/>
      </rPr>
      <t>保安處分人數</t>
    </r>
    <phoneticPr fontId="3" type="noConversion"/>
  </si>
  <si>
    <r>
      <rPr>
        <sz val="12"/>
        <rFont val="新細明體"/>
        <family val="1"/>
        <charset val="136"/>
      </rPr>
      <t>保護管束</t>
    </r>
    <phoneticPr fontId="3" type="noConversion"/>
  </si>
  <si>
    <r>
      <rPr>
        <sz val="12"/>
        <color theme="1"/>
        <rFont val="新細明體"/>
        <family val="2"/>
        <charset val="136"/>
      </rPr>
      <t>強制治療</t>
    </r>
    <phoneticPr fontId="3" type="noConversion"/>
  </si>
  <si>
    <r>
      <rPr>
        <sz val="12"/>
        <color theme="1"/>
        <rFont val="新細明體"/>
        <family val="2"/>
        <charset val="136"/>
      </rPr>
      <t>禁戒</t>
    </r>
    <phoneticPr fontId="3" type="noConversion"/>
  </si>
  <si>
    <r>
      <rPr>
        <sz val="12"/>
        <color theme="1"/>
        <rFont val="新細明體"/>
        <family val="2"/>
        <charset val="136"/>
      </rPr>
      <t>強制工作</t>
    </r>
    <phoneticPr fontId="3" type="noConversion"/>
  </si>
  <si>
    <r>
      <rPr>
        <sz val="12"/>
        <color theme="1"/>
        <rFont val="新細明體"/>
        <family val="2"/>
        <charset val="136"/>
      </rPr>
      <t>驅逐出境</t>
    </r>
    <phoneticPr fontId="3" type="noConversion"/>
  </si>
  <si>
    <r>
      <rPr>
        <sz val="12"/>
        <color theme="1"/>
        <rFont val="新細明體"/>
        <family val="2"/>
        <charset val="136"/>
      </rPr>
      <t>監護</t>
    </r>
    <phoneticPr fontId="3" type="noConversion"/>
  </si>
  <si>
    <r>
      <rPr>
        <sz val="12"/>
        <color theme="1"/>
        <rFont val="新細明體"/>
        <family val="2"/>
        <charset val="136"/>
      </rPr>
      <t>緩刑人數</t>
    </r>
    <phoneticPr fontId="3" type="noConversion"/>
  </si>
  <si>
    <r>
      <rPr>
        <sz val="10"/>
        <color theme="1"/>
        <rFont val="新細明體"/>
        <family val="2"/>
        <charset val="136"/>
      </rPr>
      <t>說　　明：緩刑人數含拘役罰金</t>
    </r>
    <r>
      <rPr>
        <sz val="10"/>
        <color theme="1"/>
        <rFont val="Times New Roman"/>
        <family val="1"/>
      </rPr>
      <t>2</t>
    </r>
    <r>
      <rPr>
        <sz val="10"/>
        <color theme="1"/>
        <rFont val="新細明體"/>
        <family val="2"/>
        <charset val="136"/>
      </rPr>
      <t>人、六月以下有期徒刑</t>
    </r>
    <r>
      <rPr>
        <sz val="10"/>
        <color theme="1"/>
        <rFont val="Times New Roman"/>
        <family val="1"/>
      </rPr>
      <t>10</t>
    </r>
    <r>
      <rPr>
        <sz val="10"/>
        <color theme="1"/>
        <rFont val="新細明體"/>
        <family val="2"/>
        <charset val="136"/>
      </rPr>
      <t>人、
　　　　　逾六月至二年以下有期徒刑</t>
    </r>
    <r>
      <rPr>
        <sz val="10"/>
        <color theme="1"/>
        <rFont val="Times New Roman"/>
        <family val="1"/>
      </rPr>
      <t>155</t>
    </r>
    <r>
      <rPr>
        <sz val="10"/>
        <color theme="1"/>
        <rFont val="新細明體"/>
        <family val="2"/>
        <charset val="136"/>
      </rPr>
      <t>人、逾二年至三年以下有期徒刑</t>
    </r>
    <r>
      <rPr>
        <sz val="10"/>
        <color theme="1"/>
        <rFont val="Times New Roman"/>
        <family val="1"/>
      </rPr>
      <t>53</t>
    </r>
    <r>
      <rPr>
        <sz val="10"/>
        <color theme="1"/>
        <rFont val="新細明體"/>
        <family val="2"/>
        <charset val="136"/>
      </rPr>
      <t>人。</t>
    </r>
    <phoneticPr fontId="2" type="noConversion"/>
  </si>
  <si>
    <r>
      <rPr>
        <sz val="10"/>
        <rFont val="細明體"/>
        <family val="3"/>
        <charset val="136"/>
      </rPr>
      <t>說　　明：少年指</t>
    </r>
    <r>
      <rPr>
        <sz val="10"/>
        <rFont val="Times New Roman"/>
        <family val="1"/>
      </rPr>
      <t>12</t>
    </r>
    <r>
      <rPr>
        <sz val="10"/>
        <rFont val="細明體"/>
        <family val="3"/>
        <charset val="136"/>
      </rPr>
      <t>歲以上未滿</t>
    </r>
    <r>
      <rPr>
        <sz val="10"/>
        <rFont val="Times New Roman"/>
        <family val="1"/>
      </rPr>
      <t>18</t>
    </r>
    <r>
      <rPr>
        <sz val="10"/>
        <rFont val="細明體"/>
        <family val="3"/>
        <charset val="136"/>
      </rPr>
      <t>歲之人。</t>
    </r>
    <phoneticPr fontId="2" type="noConversion"/>
  </si>
  <si>
    <t>妨害性隱私及不實性影像罪</t>
    <phoneticPr fontId="3" type="noConversion"/>
  </si>
  <si>
    <r>
      <t>106</t>
    </r>
    <r>
      <rPr>
        <sz val="12"/>
        <color theme="1"/>
        <rFont val="新細明體"/>
        <family val="2"/>
        <charset val="136"/>
      </rPr>
      <t>年</t>
    </r>
    <phoneticPr fontId="3" type="noConversion"/>
  </si>
  <si>
    <r>
      <t>12</t>
    </r>
    <r>
      <rPr>
        <sz val="12"/>
        <color theme="1"/>
        <rFont val="新細明體"/>
        <family val="2"/>
        <charset val="136"/>
      </rPr>
      <t>歲未滿</t>
    </r>
    <phoneticPr fontId="3" type="noConversion"/>
  </si>
  <si>
    <r>
      <t>12</t>
    </r>
    <r>
      <rPr>
        <sz val="12"/>
        <color theme="1"/>
        <rFont val="新細明體"/>
        <family val="2"/>
        <charset val="136"/>
      </rPr>
      <t>歲以上</t>
    </r>
    <r>
      <rPr>
        <sz val="12"/>
        <rFont val="Times New Roman"/>
        <family val="1"/>
      </rPr>
      <t>13</t>
    </r>
    <r>
      <rPr>
        <sz val="12"/>
        <color theme="1"/>
        <rFont val="新細明體"/>
        <family val="2"/>
        <charset val="136"/>
      </rPr>
      <t>歲未滿</t>
    </r>
    <phoneticPr fontId="3" type="noConversion"/>
  </si>
  <si>
    <r>
      <t>13</t>
    </r>
    <r>
      <rPr>
        <sz val="12"/>
        <color theme="1"/>
        <rFont val="新細明體"/>
        <family val="2"/>
        <charset val="136"/>
      </rPr>
      <t>歲以上</t>
    </r>
    <r>
      <rPr>
        <sz val="12"/>
        <rFont val="Times New Roman"/>
        <family val="1"/>
      </rPr>
      <t>14</t>
    </r>
    <r>
      <rPr>
        <sz val="12"/>
        <color theme="1"/>
        <rFont val="新細明體"/>
        <family val="2"/>
        <charset val="136"/>
      </rPr>
      <t>歲未滿</t>
    </r>
    <phoneticPr fontId="3" type="noConversion"/>
  </si>
  <si>
    <r>
      <t>14</t>
    </r>
    <r>
      <rPr>
        <sz val="12"/>
        <color theme="1"/>
        <rFont val="新細明體"/>
        <family val="2"/>
        <charset val="136"/>
      </rPr>
      <t>歲以上</t>
    </r>
    <r>
      <rPr>
        <sz val="12"/>
        <rFont val="Times New Roman"/>
        <family val="1"/>
      </rPr>
      <t>15</t>
    </r>
    <r>
      <rPr>
        <sz val="12"/>
        <color theme="1"/>
        <rFont val="新細明體"/>
        <family val="2"/>
        <charset val="136"/>
      </rPr>
      <t>歲未滿</t>
    </r>
    <phoneticPr fontId="3" type="noConversion"/>
  </si>
  <si>
    <r>
      <t>15</t>
    </r>
    <r>
      <rPr>
        <sz val="12"/>
        <color theme="1"/>
        <rFont val="新細明體"/>
        <family val="2"/>
        <charset val="136"/>
      </rPr>
      <t>歲以上</t>
    </r>
    <r>
      <rPr>
        <sz val="12"/>
        <rFont val="Times New Roman"/>
        <family val="1"/>
      </rPr>
      <t>16</t>
    </r>
    <r>
      <rPr>
        <sz val="12"/>
        <color theme="1"/>
        <rFont val="新細明體"/>
        <family val="2"/>
        <charset val="136"/>
      </rPr>
      <t>歲未滿</t>
    </r>
    <phoneticPr fontId="3" type="noConversion"/>
  </si>
  <si>
    <r>
      <t>16</t>
    </r>
    <r>
      <rPr>
        <sz val="12"/>
        <color theme="1"/>
        <rFont val="新細明體"/>
        <family val="2"/>
        <charset val="136"/>
      </rPr>
      <t>歲以上</t>
    </r>
    <r>
      <rPr>
        <sz val="12"/>
        <rFont val="Times New Roman"/>
        <family val="1"/>
      </rPr>
      <t>17</t>
    </r>
    <r>
      <rPr>
        <sz val="12"/>
        <color theme="1"/>
        <rFont val="新細明體"/>
        <family val="2"/>
        <charset val="136"/>
      </rPr>
      <t>歲未滿</t>
    </r>
    <phoneticPr fontId="3" type="noConversion"/>
  </si>
  <si>
    <r>
      <t>17</t>
    </r>
    <r>
      <rPr>
        <sz val="12"/>
        <color theme="1"/>
        <rFont val="新細明體"/>
        <family val="2"/>
        <charset val="136"/>
      </rPr>
      <t>歲以上</t>
    </r>
    <r>
      <rPr>
        <sz val="12"/>
        <rFont val="Times New Roman"/>
        <family val="1"/>
      </rPr>
      <t>18</t>
    </r>
    <r>
      <rPr>
        <sz val="12"/>
        <color theme="1"/>
        <rFont val="新細明體"/>
        <family val="2"/>
        <charset val="136"/>
      </rPr>
      <t>歲未滿</t>
    </r>
    <phoneticPr fontId="3" type="noConversion"/>
  </si>
  <si>
    <r>
      <rPr>
        <sz val="10"/>
        <rFont val="新細明體"/>
        <family val="1"/>
        <charset val="136"/>
      </rPr>
      <t>說　　明：本表不包含未經個案調查人數及虞犯</t>
    </r>
    <r>
      <rPr>
        <sz val="10"/>
        <rFont val="Times New Roman"/>
        <family val="1"/>
      </rPr>
      <t>/</t>
    </r>
    <r>
      <rPr>
        <sz val="10"/>
        <rFont val="新細明體"/>
        <family val="1"/>
        <charset val="136"/>
      </rPr>
      <t>曝險少年。</t>
    </r>
    <phoneticPr fontId="3" type="noConversion"/>
  </si>
  <si>
    <t>-</t>
    <phoneticPr fontId="2" type="noConversion"/>
  </si>
  <si>
    <t>戶籍法</t>
    <phoneticPr fontId="2" type="noConversion"/>
  </si>
  <si>
    <t>人口販運防治法</t>
    <phoneticPr fontId="2" type="noConversion"/>
  </si>
  <si>
    <t>電業法</t>
    <phoneticPr fontId="2" type="noConversion"/>
  </si>
  <si>
    <r>
      <rPr>
        <sz val="12"/>
        <color rgb="FF000000"/>
        <rFont val="新細明體"/>
        <family val="1"/>
        <charset val="136"/>
      </rPr>
      <t>總計</t>
    </r>
  </si>
  <si>
    <r>
      <rPr>
        <sz val="12"/>
        <color theme="1"/>
        <rFont val="新細明體"/>
        <family val="1"/>
        <charset val="136"/>
      </rPr>
      <t>請求法院處理</t>
    </r>
    <phoneticPr fontId="2" type="noConversion"/>
  </si>
  <si>
    <r>
      <rPr>
        <sz val="12"/>
        <color theme="1"/>
        <rFont val="新細明體"/>
        <family val="1"/>
        <charset val="136"/>
      </rPr>
      <t>輔導目標已達成，結案</t>
    </r>
    <phoneticPr fontId="2" type="noConversion"/>
  </si>
  <si>
    <r>
      <rPr>
        <sz val="10"/>
        <color theme="1"/>
        <rFont val="新細明體"/>
        <family val="2"/>
        <charset val="136"/>
      </rPr>
      <t>資料來源：內政部警政署刑事警察局。
說　　明：</t>
    </r>
    <r>
      <rPr>
        <sz val="10"/>
        <color theme="1"/>
        <rFont val="Times New Roman"/>
        <family val="1"/>
      </rPr>
      <t>1. 112</t>
    </r>
    <r>
      <rPr>
        <sz val="10"/>
        <color theme="1"/>
        <rFont val="新細明體"/>
        <family val="2"/>
        <charset val="136"/>
      </rPr>
      <t>年未結共計</t>
    </r>
    <r>
      <rPr>
        <sz val="10"/>
        <color theme="1"/>
        <rFont val="Times New Roman"/>
        <family val="1"/>
      </rPr>
      <t>373</t>
    </r>
    <r>
      <rPr>
        <sz val="10"/>
        <color theme="1"/>
        <rFont val="新細明體"/>
        <family val="2"/>
        <charset val="136"/>
      </rPr>
      <t>件，皆為持續輔導案件。
　　　　　</t>
    </r>
    <r>
      <rPr>
        <sz val="10"/>
        <color theme="1"/>
        <rFont val="Times New Roman"/>
        <family val="1"/>
      </rPr>
      <t xml:space="preserve">2. </t>
    </r>
    <r>
      <rPr>
        <sz val="10"/>
        <color theme="1"/>
        <rFont val="新細明體"/>
        <family val="2"/>
        <charset val="136"/>
      </rPr>
      <t>本表人數與件數相同。</t>
    </r>
    <phoneticPr fontId="2" type="noConversion"/>
  </si>
  <si>
    <r>
      <rPr>
        <sz val="15"/>
        <color theme="1"/>
        <rFont val="新細明體"/>
        <family val="1"/>
        <charset val="136"/>
      </rPr>
      <t>表</t>
    </r>
    <r>
      <rPr>
        <sz val="15"/>
        <color theme="1"/>
        <rFont val="Times New Roman"/>
        <family val="1"/>
      </rPr>
      <t>3-1-3    112</t>
    </r>
    <r>
      <rPr>
        <sz val="15"/>
        <color theme="1"/>
        <rFont val="新細明體"/>
        <family val="1"/>
        <charset val="136"/>
      </rPr>
      <t>年少年輔導委員會之曝險案件處理情形</t>
    </r>
    <phoneticPr fontId="2" type="noConversion"/>
  </si>
  <si>
    <r>
      <rPr>
        <b/>
        <sz val="12"/>
        <color theme="5" tint="-0.499984740745262"/>
        <rFont val="新細明體"/>
        <family val="1"/>
        <charset val="136"/>
      </rPr>
      <t>本篇表次對應少年事件程序圖</t>
    </r>
  </si>
  <si>
    <r>
      <rPr>
        <sz val="12"/>
        <color rgb="FF002060"/>
        <rFont val="新細明體"/>
        <family val="1"/>
        <charset val="136"/>
      </rPr>
      <t>表</t>
    </r>
    <r>
      <rPr>
        <sz val="12"/>
        <color rgb="FF002060"/>
        <rFont val="Times New Roman"/>
        <family val="1"/>
      </rPr>
      <t>3-2-1    112</t>
    </r>
    <r>
      <rPr>
        <sz val="12"/>
        <color rgb="FF002060"/>
        <rFont val="新細明體"/>
        <family val="1"/>
        <charset val="136"/>
      </rPr>
      <t>年少年事件調查收結情形</t>
    </r>
    <phoneticPr fontId="2" type="noConversion"/>
  </si>
  <si>
    <r>
      <rPr>
        <sz val="12"/>
        <color rgb="FF002060"/>
        <rFont val="新細明體"/>
        <family val="2"/>
        <charset val="136"/>
      </rPr>
      <t>表</t>
    </r>
    <r>
      <rPr>
        <sz val="12"/>
        <color rgb="FF002060"/>
        <rFont val="Times New Roman"/>
        <family val="1"/>
      </rPr>
      <t>3-2-3</t>
    </r>
    <r>
      <rPr>
        <sz val="12"/>
        <color rgb="FF002060"/>
        <rFont val="新細明體"/>
        <family val="2"/>
        <charset val="136"/>
      </rPr>
      <t>　</t>
    </r>
    <r>
      <rPr>
        <sz val="12"/>
        <color rgb="FF002060"/>
        <rFont val="Times New Roman"/>
        <family val="1"/>
      </rPr>
      <t>112</t>
    </r>
    <r>
      <rPr>
        <sz val="12"/>
        <color rgb="FF002060"/>
        <rFont val="新細明體"/>
        <family val="2"/>
        <charset val="136"/>
      </rPr>
      <t>年少年刑事案件裁判結果</t>
    </r>
  </si>
  <si>
    <r>
      <rPr>
        <sz val="12"/>
        <color rgb="FF002060"/>
        <rFont val="新細明體"/>
        <family val="2"/>
        <charset val="136"/>
      </rPr>
      <t>表</t>
    </r>
    <r>
      <rPr>
        <sz val="12"/>
        <color rgb="FF002060"/>
        <rFont val="Times New Roman"/>
        <family val="1"/>
      </rPr>
      <t>3-2-7</t>
    </r>
    <r>
      <rPr>
        <sz val="12"/>
        <color rgb="FF002060"/>
        <rFont val="新細明體"/>
        <family val="2"/>
        <charset val="136"/>
      </rPr>
      <t>　</t>
    </r>
    <r>
      <rPr>
        <sz val="12"/>
        <color rgb="FF002060"/>
        <rFont val="Times New Roman"/>
        <family val="1"/>
      </rPr>
      <t>112</t>
    </r>
    <r>
      <rPr>
        <sz val="12"/>
        <color rgb="FF002060"/>
        <rFont val="新細明體"/>
        <family val="2"/>
        <charset val="136"/>
      </rPr>
      <t>年觸法少年交付保護處分之年齡與主要罪名</t>
    </r>
  </si>
  <si>
    <r>
      <rPr>
        <sz val="12"/>
        <color rgb="FF002060"/>
        <rFont val="新細明體"/>
        <family val="2"/>
        <charset val="136"/>
      </rPr>
      <t>表</t>
    </r>
    <r>
      <rPr>
        <sz val="12"/>
        <color rgb="FF002060"/>
        <rFont val="Times New Roman"/>
        <family val="1"/>
      </rPr>
      <t>3-2-15</t>
    </r>
    <r>
      <rPr>
        <sz val="12"/>
        <color rgb="FF002060"/>
        <rFont val="新細明體"/>
        <family val="2"/>
        <charset val="136"/>
      </rPr>
      <t>　</t>
    </r>
    <r>
      <rPr>
        <sz val="12"/>
        <color rgb="FF002060"/>
        <rFont val="Times New Roman"/>
        <family val="1"/>
      </rPr>
      <t>112</t>
    </r>
    <r>
      <rPr>
        <sz val="12"/>
        <color rgb="FF002060"/>
        <rFont val="新細明體"/>
        <family val="2"/>
        <charset val="136"/>
      </rPr>
      <t>年少年刑事案件之年齡、性別與罪名</t>
    </r>
  </si>
  <si>
    <r>
      <rPr>
        <b/>
        <sz val="12"/>
        <color theme="1"/>
        <rFont val="新細明體"/>
        <family val="1"/>
        <charset val="136"/>
      </rPr>
      <t>關聯數據：</t>
    </r>
    <r>
      <rPr>
        <b/>
        <sz val="12"/>
        <color theme="1"/>
        <rFont val="Times New Roman"/>
        <family val="1"/>
      </rPr>
      <t>3-1-3</t>
    </r>
    <phoneticPr fontId="2" type="noConversion"/>
  </si>
  <si>
    <t>妨害性自主</t>
    <phoneticPr fontId="2" type="noConversion"/>
  </si>
  <si>
    <t>有施用毒品或迷幻物品之行為
而尚未觸犯刑罰法律</t>
    <phoneticPr fontId="2" type="noConversion"/>
  </si>
  <si>
    <t>無正當理由
經常攜帶危險器械</t>
    <phoneticPr fontId="2" type="noConversion"/>
  </si>
  <si>
    <t>有預備犯罪或犯罪未遂
而為法所不罰之行為</t>
    <phoneticPr fontId="2" type="noConversion"/>
  </si>
  <si>
    <t>新收（件 / 人）</t>
    <phoneticPr fontId="2" type="noConversion"/>
  </si>
  <si>
    <t>終結（件 / 人）</t>
    <phoneticPr fontId="2" type="noConversion"/>
  </si>
  <si>
    <t>持續輔導（件 / 人）</t>
    <phoneticPr fontId="2" type="noConversion"/>
  </si>
  <si>
    <t>嚴重特殊傳染性肺炎防治及紓困振興特別條例</t>
    <phoneticPr fontId="2" type="noConversion"/>
  </si>
  <si>
    <t>恐嚇取財罪</t>
  </si>
  <si>
    <r>
      <t>102年</t>
    </r>
    <r>
      <rPr>
        <sz val="12"/>
        <rFont val="Times New Roman"/>
        <family val="1"/>
      </rPr>
      <t/>
    </r>
  </si>
  <si>
    <t>洗錢防制法</t>
    <phoneticPr fontId="2" type="noConversion"/>
  </si>
  <si>
    <t>銀行法</t>
    <phoneticPr fontId="2" type="noConversion"/>
  </si>
  <si>
    <t>藥事法</t>
    <phoneticPr fontId="2" type="noConversion"/>
  </si>
  <si>
    <t>說　　明：1. 因少年事件處理法自108年修正虞犯少年為曝險少年，本表於108年6月前為虞犯少年數據，其後為曝險少年數據。
　　　　　2. 本表仍以108年6月19日修法施行前條文為分類基準，並列述修法前後用語對照如下：
　　　　　(1) 無正當理由經常攜帶刀械者（修法前）、無正當理由經常攜帶危險器械（修法後）。
　　　　　(2) 吸食或施打煙毒或麻醉藥品以外之迷幻物品者（修法前）、有施用毒品或迷幻物品之行為而尚未觸犯刑罰法律（修法後）。
　　　　　(3) 有預備犯罪或犯罪未遂而為法所不罰之行為者（修法前）、有預備犯罪或犯罪未遂而為法所不罰之行為（修法後）。
　　　　　3. 本表虞犯/曝險少年，係指當年度經法院裁定交付保護處分且經個案調查者。</t>
    <phoneticPr fontId="37" type="noConversion"/>
  </si>
  <si>
    <r>
      <rPr>
        <sz val="10"/>
        <rFont val="細明體"/>
        <family val="3"/>
        <charset val="136"/>
      </rPr>
      <t>說　　明：</t>
    </r>
    <r>
      <rPr>
        <sz val="10"/>
        <rFont val="Times New Roman"/>
        <family val="1"/>
      </rPr>
      <t xml:space="preserve">1. </t>
    </r>
    <r>
      <rPr>
        <sz val="10"/>
        <rFont val="細明體"/>
        <family val="3"/>
        <charset val="136"/>
      </rPr>
      <t>被歸類為</t>
    </r>
    <r>
      <rPr>
        <sz val="10"/>
        <rFont val="Times New Roman"/>
        <family val="1"/>
      </rPr>
      <t>12</t>
    </r>
    <r>
      <rPr>
        <sz val="10"/>
        <rFont val="細明體"/>
        <family val="3"/>
        <charset val="136"/>
      </rPr>
      <t>歲未滿的少年，係於移送時為</t>
    </r>
    <r>
      <rPr>
        <sz val="10"/>
        <rFont val="Times New Roman"/>
        <family val="1"/>
      </rPr>
      <t>12</t>
    </r>
    <r>
      <rPr>
        <sz val="10"/>
        <rFont val="細明體"/>
        <family val="3"/>
        <charset val="136"/>
      </rPr>
      <t>歲以上，但在調查或審理階段時，始得知該少年觸法時未滿</t>
    </r>
    <r>
      <rPr>
        <sz val="10"/>
        <rFont val="Times New Roman"/>
        <family val="1"/>
      </rPr>
      <t>12</t>
    </r>
    <r>
      <rPr>
        <sz val="10"/>
        <rFont val="細明體"/>
        <family val="3"/>
        <charset val="136"/>
      </rPr>
      <t>歲而言。
　　　　　</t>
    </r>
    <r>
      <rPr>
        <sz val="10"/>
        <rFont val="Times New Roman"/>
        <family val="1"/>
      </rPr>
      <t xml:space="preserve">2. </t>
    </r>
    <r>
      <rPr>
        <sz val="10"/>
        <rFont val="細明體"/>
        <family val="3"/>
        <charset val="136"/>
      </rPr>
      <t>本表虞犯</t>
    </r>
    <r>
      <rPr>
        <sz val="10"/>
        <rFont val="Times New Roman"/>
        <family val="1"/>
      </rPr>
      <t>/</t>
    </r>
    <r>
      <rPr>
        <sz val="10"/>
        <rFont val="細明體"/>
        <family val="3"/>
        <charset val="136"/>
      </rPr>
      <t>曝險少年，係指當年度經法院裁定交付保護處分且經個案調查者。
　　　　　</t>
    </r>
    <r>
      <rPr>
        <sz val="10"/>
        <rFont val="Times New Roman"/>
        <family val="1"/>
      </rPr>
      <t xml:space="preserve">3. </t>
    </r>
    <r>
      <rPr>
        <sz val="10"/>
        <rFont val="細明體"/>
        <family val="3"/>
        <charset val="136"/>
      </rPr>
      <t>基於少年事件處理法自</t>
    </r>
    <r>
      <rPr>
        <sz val="10"/>
        <rFont val="Times New Roman"/>
        <family val="1"/>
      </rPr>
      <t>108</t>
    </r>
    <r>
      <rPr>
        <sz val="10"/>
        <rFont val="細明體"/>
        <family val="3"/>
        <charset val="136"/>
      </rPr>
      <t>年修正虞犯少年為曝險少年，本表於</t>
    </r>
    <r>
      <rPr>
        <sz val="10"/>
        <rFont val="Times New Roman"/>
        <family val="1"/>
      </rPr>
      <t>108</t>
    </r>
    <r>
      <rPr>
        <sz val="10"/>
        <rFont val="細明體"/>
        <family val="3"/>
        <charset val="136"/>
      </rPr>
      <t>年</t>
    </r>
    <r>
      <rPr>
        <sz val="10"/>
        <rFont val="Times New Roman"/>
        <family val="1"/>
      </rPr>
      <t>6</t>
    </r>
    <r>
      <rPr>
        <sz val="10"/>
        <rFont val="細明體"/>
        <family val="3"/>
        <charset val="136"/>
      </rPr>
      <t>月前為虞犯少年數據，其後為曝險少年數據。</t>
    </r>
    <phoneticPr fontId="37" type="noConversion"/>
  </si>
  <si>
    <r>
      <t>103年</t>
    </r>
    <r>
      <rPr>
        <sz val="12"/>
        <rFont val="PMingLiU"/>
        <family val="1"/>
        <charset val="136"/>
      </rPr>
      <t/>
    </r>
  </si>
  <si>
    <r>
      <t>104年</t>
    </r>
    <r>
      <rPr>
        <sz val="12"/>
        <rFont val="PMingLiU"/>
        <family val="1"/>
        <charset val="136"/>
      </rPr>
      <t/>
    </r>
  </si>
  <si>
    <r>
      <t>105年</t>
    </r>
    <r>
      <rPr>
        <sz val="12"/>
        <rFont val="PMingLiU"/>
        <family val="1"/>
        <charset val="136"/>
      </rPr>
      <t/>
    </r>
  </si>
  <si>
    <r>
      <t>106年</t>
    </r>
    <r>
      <rPr>
        <sz val="12"/>
        <rFont val="PMingLiU"/>
        <family val="1"/>
        <charset val="136"/>
      </rPr>
      <t/>
    </r>
  </si>
  <si>
    <r>
      <t>107年</t>
    </r>
    <r>
      <rPr>
        <sz val="12"/>
        <rFont val="PMingLiU"/>
        <family val="1"/>
        <charset val="136"/>
      </rPr>
      <t/>
    </r>
  </si>
  <si>
    <r>
      <rPr>
        <sz val="15"/>
        <rFont val="新細明體"/>
        <family val="1"/>
        <charset val="136"/>
      </rPr>
      <t>表</t>
    </r>
    <r>
      <rPr>
        <sz val="15"/>
        <rFont val="Times New Roman"/>
        <family val="1"/>
      </rPr>
      <t xml:space="preserve"> 3-3-1</t>
    </r>
    <r>
      <rPr>
        <sz val="15"/>
        <rFont val="新細明體"/>
        <family val="1"/>
        <charset val="136"/>
      </rPr>
      <t>　近</t>
    </r>
    <r>
      <rPr>
        <sz val="15"/>
        <rFont val="Times New Roman"/>
        <family val="1"/>
      </rPr>
      <t>9</t>
    </r>
    <r>
      <rPr>
        <sz val="15"/>
        <rFont val="新細明體"/>
        <family val="1"/>
        <charset val="136"/>
      </rPr>
      <t>年少年觀護所新入所收容</t>
    </r>
    <r>
      <rPr>
        <sz val="15"/>
        <rFont val="Times New Roman"/>
        <family val="1"/>
      </rPr>
      <t>/</t>
    </r>
    <r>
      <rPr>
        <sz val="15"/>
        <rFont val="新細明體"/>
        <family val="1"/>
        <charset val="136"/>
      </rPr>
      <t>羈押人數與性別</t>
    </r>
    <phoneticPr fontId="37" type="noConversion"/>
  </si>
  <si>
    <t>說　　明：1. 本表不含待執行感化教育、留置觀察及保護管束之少年人數。
　　　　　2. 因應少年事件處理法108年6月後將虞犯少年改制為曝險少年，本表107年以前含虞犯少年、108年含虞犯及曝險少年。</t>
    <phoneticPr fontId="37" type="noConversion"/>
  </si>
  <si>
    <r>
      <rPr>
        <sz val="15"/>
        <color theme="1"/>
        <rFont val="新細明體"/>
        <family val="1"/>
        <charset val="136"/>
      </rPr>
      <t>表</t>
    </r>
    <r>
      <rPr>
        <sz val="15"/>
        <color theme="1"/>
        <rFont val="Times New Roman"/>
        <family val="1"/>
      </rPr>
      <t xml:space="preserve"> 3-3-2</t>
    </r>
    <r>
      <rPr>
        <sz val="15"/>
        <color theme="1"/>
        <rFont val="新細明體"/>
        <family val="1"/>
        <charset val="136"/>
      </rPr>
      <t>　近</t>
    </r>
    <r>
      <rPr>
        <sz val="15"/>
        <color theme="1"/>
        <rFont val="Times New Roman"/>
        <family val="1"/>
      </rPr>
      <t>10</t>
    </r>
    <r>
      <rPr>
        <sz val="15"/>
        <color theme="1"/>
        <rFont val="新細明體"/>
        <family val="1"/>
        <charset val="136"/>
      </rPr>
      <t>年少年觀護所新入所收容</t>
    </r>
    <r>
      <rPr>
        <sz val="15"/>
        <color theme="1"/>
        <rFont val="Times New Roman"/>
        <family val="1"/>
      </rPr>
      <t>/</t>
    </r>
    <r>
      <rPr>
        <sz val="15"/>
        <color theme="1"/>
        <rFont val="新細明體"/>
        <family val="1"/>
        <charset val="136"/>
      </rPr>
      <t>羈押少年之性別與年齡</t>
    </r>
    <phoneticPr fontId="37" type="noConversion"/>
  </si>
  <si>
    <r>
      <rPr>
        <sz val="15"/>
        <color theme="1"/>
        <rFont val="新細明體"/>
        <family val="1"/>
        <charset val="136"/>
      </rPr>
      <t>表</t>
    </r>
    <r>
      <rPr>
        <sz val="15"/>
        <color theme="1"/>
        <rFont val="Times New Roman"/>
        <family val="1"/>
      </rPr>
      <t xml:space="preserve"> 3-3-3</t>
    </r>
    <r>
      <rPr>
        <sz val="15"/>
        <color theme="1"/>
        <rFont val="新細明體"/>
        <family val="1"/>
        <charset val="136"/>
      </rPr>
      <t>　近</t>
    </r>
    <r>
      <rPr>
        <sz val="15"/>
        <color theme="1"/>
        <rFont val="Times New Roman"/>
        <family val="1"/>
      </rPr>
      <t>10</t>
    </r>
    <r>
      <rPr>
        <sz val="15"/>
        <color theme="1"/>
        <rFont val="新細明體"/>
        <family val="1"/>
        <charset val="136"/>
      </rPr>
      <t>年少年觀護所新入所收容</t>
    </r>
    <r>
      <rPr>
        <sz val="15"/>
        <color theme="1"/>
        <rFont val="Times New Roman"/>
        <family val="1"/>
      </rPr>
      <t>/</t>
    </r>
    <r>
      <rPr>
        <sz val="15"/>
        <color theme="1"/>
        <rFont val="新細明體"/>
        <family val="1"/>
        <charset val="136"/>
      </rPr>
      <t>羈押少年之性別與教育程度</t>
    </r>
    <phoneticPr fontId="37" type="noConversion"/>
  </si>
  <si>
    <r>
      <rPr>
        <sz val="15"/>
        <color theme="1"/>
        <rFont val="新細明體"/>
        <family val="1"/>
        <charset val="136"/>
      </rPr>
      <t>表</t>
    </r>
    <r>
      <rPr>
        <sz val="15"/>
        <color theme="1"/>
        <rFont val="Times New Roman"/>
        <family val="1"/>
      </rPr>
      <t xml:space="preserve"> 3-3-4</t>
    </r>
    <r>
      <rPr>
        <sz val="15"/>
        <color theme="1"/>
        <rFont val="新細明體"/>
        <family val="1"/>
        <charset val="136"/>
      </rPr>
      <t>　近</t>
    </r>
    <r>
      <rPr>
        <sz val="15"/>
        <color theme="1"/>
        <rFont val="Times New Roman"/>
        <family val="1"/>
      </rPr>
      <t>10</t>
    </r>
    <r>
      <rPr>
        <sz val="15"/>
        <color theme="1"/>
        <rFont val="新細明體"/>
        <family val="1"/>
        <charset val="136"/>
      </rPr>
      <t>年少年觀護所新入所收容</t>
    </r>
    <r>
      <rPr>
        <sz val="15"/>
        <color theme="1"/>
        <rFont val="Times New Roman"/>
        <family val="1"/>
      </rPr>
      <t>/</t>
    </r>
    <r>
      <rPr>
        <sz val="15"/>
        <color theme="1"/>
        <rFont val="新細明體"/>
        <family val="1"/>
        <charset val="136"/>
      </rPr>
      <t>羈押少年之性別與家庭經濟狀況</t>
    </r>
    <phoneticPr fontId="37" type="noConversion"/>
  </si>
  <si>
    <r>
      <t xml:space="preserve"> </t>
    </r>
    <r>
      <rPr>
        <sz val="15"/>
        <color theme="1"/>
        <rFont val="新細明體"/>
        <family val="1"/>
        <charset val="136"/>
      </rPr>
      <t>表</t>
    </r>
    <r>
      <rPr>
        <sz val="15"/>
        <color theme="1"/>
        <rFont val="Times New Roman"/>
        <family val="1"/>
      </rPr>
      <t xml:space="preserve"> 3-3-5</t>
    </r>
    <r>
      <rPr>
        <sz val="15"/>
        <color theme="1"/>
        <rFont val="新細明體"/>
        <family val="1"/>
        <charset val="136"/>
      </rPr>
      <t>　近</t>
    </r>
    <r>
      <rPr>
        <sz val="15"/>
        <color theme="1"/>
        <rFont val="Times New Roman"/>
        <family val="1"/>
      </rPr>
      <t>10</t>
    </r>
    <r>
      <rPr>
        <sz val="15"/>
        <color theme="1"/>
        <rFont val="新細明體"/>
        <family val="1"/>
        <charset val="136"/>
      </rPr>
      <t>年少年觀護所新入所收容</t>
    </r>
    <r>
      <rPr>
        <sz val="15"/>
        <color theme="1"/>
        <rFont val="Times New Roman"/>
        <family val="1"/>
      </rPr>
      <t>/</t>
    </r>
    <r>
      <rPr>
        <sz val="15"/>
        <color theme="1"/>
        <rFont val="新細明體"/>
        <family val="1"/>
        <charset val="136"/>
      </rPr>
      <t>羈押少年之性別與罪名</t>
    </r>
    <phoneticPr fontId="37" type="noConversion"/>
  </si>
  <si>
    <r>
      <rPr>
        <sz val="11"/>
        <rFont val="細明體"/>
        <family val="3"/>
        <charset val="136"/>
      </rPr>
      <t>說　　明：</t>
    </r>
    <r>
      <rPr>
        <sz val="11"/>
        <rFont val="Times New Roman"/>
        <family val="1"/>
      </rPr>
      <t xml:space="preserve">1. </t>
    </r>
    <r>
      <rPr>
        <sz val="11"/>
        <rFont val="細明體"/>
        <family val="3"/>
        <charset val="136"/>
      </rPr>
      <t>因少年輔育院自</t>
    </r>
    <r>
      <rPr>
        <sz val="11"/>
        <rFont val="Times New Roman"/>
        <family val="1"/>
      </rPr>
      <t>110</t>
    </r>
    <r>
      <rPr>
        <sz val="11"/>
        <rFont val="細明體"/>
        <family val="3"/>
        <charset val="136"/>
      </rPr>
      <t>年</t>
    </r>
    <r>
      <rPr>
        <sz val="11"/>
        <rFont val="Times New Roman"/>
        <family val="1"/>
      </rPr>
      <t>8</t>
    </r>
    <r>
      <rPr>
        <sz val="11"/>
        <rFont val="細明體"/>
        <family val="3"/>
        <charset val="136"/>
      </rPr>
      <t>月後更名為矯正學校，爰整併本表少年輔育院、少年矯正學校用語為「少年矯正學校」。
　　　　　</t>
    </r>
    <r>
      <rPr>
        <sz val="11"/>
        <rFont val="Times New Roman"/>
        <family val="1"/>
      </rPr>
      <t>2. 110</t>
    </r>
    <r>
      <rPr>
        <sz val="11"/>
        <rFont val="細明體"/>
        <family val="3"/>
        <charset val="136"/>
      </rPr>
      <t>年</t>
    </r>
    <r>
      <rPr>
        <sz val="11"/>
        <rFont val="Times New Roman"/>
        <family val="1"/>
      </rPr>
      <t>8</t>
    </r>
    <r>
      <rPr>
        <sz val="11"/>
        <rFont val="細明體"/>
        <family val="3"/>
        <charset val="136"/>
      </rPr>
      <t>月</t>
    </r>
    <r>
      <rPr>
        <sz val="11"/>
        <rFont val="Times New Roman"/>
        <family val="1"/>
      </rPr>
      <t>1</t>
    </r>
    <r>
      <rPr>
        <sz val="11"/>
        <rFont val="細明體"/>
        <family val="3"/>
        <charset val="136"/>
      </rPr>
      <t>日起，桃園少年輔育院及彰化少年輔育院改制為敦品中學及勵志中學。本表含改制前之桃園少年輔育院及彰化少年輔育院收容受感化教育學生。</t>
    </r>
    <phoneticPr fontId="2" type="noConversion"/>
  </si>
  <si>
    <r>
      <rPr>
        <sz val="15"/>
        <rFont val="新細明體"/>
        <family val="1"/>
        <charset val="136"/>
      </rPr>
      <t>表</t>
    </r>
    <r>
      <rPr>
        <sz val="15"/>
        <rFont val="Times New Roman"/>
        <family val="1"/>
      </rPr>
      <t xml:space="preserve"> 3-3-6</t>
    </r>
    <r>
      <rPr>
        <sz val="15"/>
        <rFont val="新細明體"/>
        <family val="1"/>
        <charset val="136"/>
      </rPr>
      <t>　近</t>
    </r>
    <r>
      <rPr>
        <sz val="15"/>
        <rFont val="Times New Roman"/>
        <family val="1"/>
      </rPr>
      <t>10</t>
    </r>
    <r>
      <rPr>
        <sz val="15"/>
        <rFont val="新細明體"/>
        <family val="1"/>
        <charset val="136"/>
      </rPr>
      <t>年少年矯正學校新入校受感化教育學生之性別</t>
    </r>
    <phoneticPr fontId="37" type="noConversion"/>
  </si>
  <si>
    <r>
      <rPr>
        <sz val="15"/>
        <rFont val="新細明體"/>
        <family val="1"/>
        <charset val="136"/>
      </rPr>
      <t>表</t>
    </r>
    <r>
      <rPr>
        <sz val="15"/>
        <rFont val="Times New Roman"/>
        <family val="1"/>
      </rPr>
      <t xml:space="preserve"> 3-3-7</t>
    </r>
    <r>
      <rPr>
        <sz val="15"/>
        <rFont val="新細明體"/>
        <family val="1"/>
        <charset val="136"/>
      </rPr>
      <t>　近</t>
    </r>
    <r>
      <rPr>
        <sz val="15"/>
        <rFont val="Times New Roman"/>
        <family val="1"/>
      </rPr>
      <t>10</t>
    </r>
    <r>
      <rPr>
        <sz val="15"/>
        <rFont val="新細明體"/>
        <family val="1"/>
        <charset val="136"/>
      </rPr>
      <t>年少年矯正學校實際出校的感化教育學生之性別</t>
    </r>
    <phoneticPr fontId="2" type="noConversion"/>
  </si>
  <si>
    <r>
      <rPr>
        <sz val="10"/>
        <rFont val="新細明體"/>
        <family val="1"/>
        <charset val="136"/>
      </rPr>
      <t>說　　明：</t>
    </r>
    <r>
      <rPr>
        <sz val="10"/>
        <rFont val="Times New Roman"/>
        <family val="1"/>
      </rPr>
      <t xml:space="preserve">1. </t>
    </r>
    <r>
      <rPr>
        <sz val="10"/>
        <rFont val="新細明體"/>
        <family val="1"/>
        <charset val="136"/>
      </rPr>
      <t>實際出院</t>
    </r>
    <r>
      <rPr>
        <sz val="10"/>
        <rFont val="Times New Roman"/>
        <family val="1"/>
      </rPr>
      <t>(</t>
    </r>
    <r>
      <rPr>
        <sz val="10"/>
        <rFont val="新細明體"/>
        <family val="1"/>
        <charset val="136"/>
      </rPr>
      <t>校</t>
    </r>
    <r>
      <rPr>
        <sz val="10"/>
        <rFont val="Times New Roman"/>
        <family val="1"/>
      </rPr>
      <t>)</t>
    </r>
    <r>
      <rPr>
        <sz val="10"/>
        <rFont val="新細明體"/>
        <family val="1"/>
        <charset val="136"/>
      </rPr>
      <t>人數含期滿出院</t>
    </r>
    <r>
      <rPr>
        <sz val="10"/>
        <rFont val="Times New Roman"/>
        <family val="1"/>
      </rPr>
      <t>(</t>
    </r>
    <r>
      <rPr>
        <sz val="10"/>
        <rFont val="新細明體"/>
        <family val="1"/>
        <charset val="136"/>
      </rPr>
      <t>校</t>
    </r>
    <r>
      <rPr>
        <sz val="10"/>
        <rFont val="Times New Roman"/>
        <family val="1"/>
      </rPr>
      <t>)</t>
    </r>
    <r>
      <rPr>
        <sz val="10"/>
        <rFont val="新細明體"/>
        <family val="1"/>
        <charset val="136"/>
      </rPr>
      <t>、免除執行、停止執行、終止執行者。
　　　　　</t>
    </r>
    <r>
      <rPr>
        <sz val="10"/>
        <rFont val="Times New Roman"/>
        <family val="1"/>
      </rPr>
      <t xml:space="preserve">2. </t>
    </r>
    <r>
      <rPr>
        <sz val="10"/>
        <rFont val="新細明體"/>
        <family val="1"/>
        <charset val="136"/>
      </rPr>
      <t>因少年輔育院自</t>
    </r>
    <r>
      <rPr>
        <sz val="10"/>
        <rFont val="Times New Roman"/>
        <family val="1"/>
      </rPr>
      <t>110</t>
    </r>
    <r>
      <rPr>
        <sz val="10"/>
        <rFont val="新細明體"/>
        <family val="1"/>
        <charset val="136"/>
      </rPr>
      <t>年</t>
    </r>
    <r>
      <rPr>
        <sz val="10"/>
        <rFont val="Times New Roman"/>
        <family val="1"/>
      </rPr>
      <t>8</t>
    </r>
    <r>
      <rPr>
        <sz val="10"/>
        <rFont val="新細明體"/>
        <family val="1"/>
        <charset val="136"/>
      </rPr>
      <t>月後更名為矯正學校，爰整併本表少年輔育院、少年矯正學校用語為「少年矯正學校」。
　　　　　</t>
    </r>
    <r>
      <rPr>
        <sz val="10"/>
        <rFont val="Times New Roman"/>
        <family val="1"/>
      </rPr>
      <t>3. 110</t>
    </r>
    <r>
      <rPr>
        <sz val="10"/>
        <rFont val="新細明體"/>
        <family val="1"/>
        <charset val="136"/>
      </rPr>
      <t>年</t>
    </r>
    <r>
      <rPr>
        <sz val="10"/>
        <rFont val="Times New Roman"/>
        <family val="1"/>
      </rPr>
      <t>8</t>
    </r>
    <r>
      <rPr>
        <sz val="10"/>
        <rFont val="新細明體"/>
        <family val="1"/>
        <charset val="136"/>
      </rPr>
      <t>月</t>
    </r>
    <r>
      <rPr>
        <sz val="10"/>
        <rFont val="Times New Roman"/>
        <family val="1"/>
      </rPr>
      <t>1</t>
    </r>
    <r>
      <rPr>
        <sz val="10"/>
        <rFont val="新細明體"/>
        <family val="1"/>
        <charset val="136"/>
      </rPr>
      <t>日起，桃園少年輔育院及彰化少年輔育院改制為敦品中學及勵志中學。本表含改制前之桃園少年輔育院及彰化少年輔育院收容受感化教育學生。</t>
    </r>
    <phoneticPr fontId="2" type="noConversion"/>
  </si>
  <si>
    <r>
      <rPr>
        <sz val="15"/>
        <rFont val="細明體"/>
        <family val="3"/>
        <charset val="136"/>
      </rPr>
      <t>表</t>
    </r>
    <r>
      <rPr>
        <sz val="15"/>
        <rFont val="Times New Roman"/>
        <family val="1"/>
      </rPr>
      <t xml:space="preserve"> 3-3-8</t>
    </r>
    <r>
      <rPr>
        <sz val="15"/>
        <rFont val="細明體"/>
        <family val="3"/>
        <charset val="136"/>
      </rPr>
      <t>　近</t>
    </r>
    <r>
      <rPr>
        <sz val="15"/>
        <rFont val="Times New Roman"/>
        <family val="1"/>
      </rPr>
      <t>10</t>
    </r>
    <r>
      <rPr>
        <sz val="15"/>
        <rFont val="細明體"/>
        <family val="3"/>
        <charset val="136"/>
      </rPr>
      <t>年少年矯正學校新入校受感化教育學生之性別與年齡</t>
    </r>
    <phoneticPr fontId="2" type="noConversion"/>
  </si>
  <si>
    <r>
      <rPr>
        <sz val="10"/>
        <rFont val="細明體"/>
        <family val="3"/>
        <charset val="136"/>
      </rPr>
      <t>說　　明：</t>
    </r>
    <r>
      <rPr>
        <sz val="10"/>
        <rFont val="Times New Roman"/>
        <family val="1"/>
      </rPr>
      <t xml:space="preserve">1. </t>
    </r>
    <r>
      <rPr>
        <sz val="10"/>
        <rFont val="細明體"/>
        <family val="3"/>
        <charset val="136"/>
      </rPr>
      <t>因少年輔育院自</t>
    </r>
    <r>
      <rPr>
        <sz val="10"/>
        <rFont val="Times New Roman"/>
        <family val="1"/>
      </rPr>
      <t>110</t>
    </r>
    <r>
      <rPr>
        <sz val="10"/>
        <rFont val="細明體"/>
        <family val="3"/>
        <charset val="136"/>
      </rPr>
      <t>年</t>
    </r>
    <r>
      <rPr>
        <sz val="10"/>
        <rFont val="Times New Roman"/>
        <family val="1"/>
      </rPr>
      <t>8</t>
    </r>
    <r>
      <rPr>
        <sz val="10"/>
        <rFont val="細明體"/>
        <family val="3"/>
        <charset val="136"/>
      </rPr>
      <t>月後更名為矯正學校，爰整併本表少年輔育院、少年矯正學校用語為「少年矯正學校」。
　　　　　</t>
    </r>
    <r>
      <rPr>
        <sz val="10"/>
        <rFont val="Times New Roman"/>
        <family val="1"/>
      </rPr>
      <t>2. 110</t>
    </r>
    <r>
      <rPr>
        <sz val="10"/>
        <rFont val="細明體"/>
        <family val="3"/>
        <charset val="136"/>
      </rPr>
      <t>年</t>
    </r>
    <r>
      <rPr>
        <sz val="10"/>
        <rFont val="Times New Roman"/>
        <family val="1"/>
      </rPr>
      <t>8</t>
    </r>
    <r>
      <rPr>
        <sz val="10"/>
        <rFont val="細明體"/>
        <family val="3"/>
        <charset val="136"/>
      </rPr>
      <t>月</t>
    </r>
    <r>
      <rPr>
        <sz val="10"/>
        <rFont val="Times New Roman"/>
        <family val="1"/>
      </rPr>
      <t>1</t>
    </r>
    <r>
      <rPr>
        <sz val="10"/>
        <rFont val="細明體"/>
        <family val="3"/>
        <charset val="136"/>
      </rPr>
      <t>日起，桃園少年輔育院及彰化少年輔育院改制為敦品中學及勵志中學。本表含改制前之桃園少年輔育院及彰化少年輔育院收容受感化教育學生。</t>
    </r>
    <phoneticPr fontId="2" type="noConversion"/>
  </si>
  <si>
    <r>
      <rPr>
        <sz val="15"/>
        <rFont val="細明體"/>
        <family val="3"/>
        <charset val="136"/>
      </rPr>
      <t>表</t>
    </r>
    <r>
      <rPr>
        <sz val="15"/>
        <rFont val="Times New Roman"/>
        <family val="1"/>
      </rPr>
      <t xml:space="preserve"> 3-3-9</t>
    </r>
    <r>
      <rPr>
        <sz val="15"/>
        <rFont val="細明體"/>
        <family val="3"/>
        <charset val="136"/>
      </rPr>
      <t>　近</t>
    </r>
    <r>
      <rPr>
        <sz val="15"/>
        <rFont val="Times New Roman"/>
        <family val="1"/>
      </rPr>
      <t>10</t>
    </r>
    <r>
      <rPr>
        <sz val="15"/>
        <rFont val="細明體"/>
        <family val="3"/>
        <charset val="136"/>
      </rPr>
      <t>年少年矯正學校新入校受感化教育學生之性別與教育程度</t>
    </r>
    <phoneticPr fontId="2" type="noConversion"/>
  </si>
  <si>
    <r>
      <rPr>
        <sz val="15"/>
        <rFont val="細明體"/>
        <family val="3"/>
        <charset val="136"/>
      </rPr>
      <t>表</t>
    </r>
    <r>
      <rPr>
        <sz val="15"/>
        <rFont val="Times New Roman"/>
        <family val="1"/>
      </rPr>
      <t xml:space="preserve"> 3-3-10</t>
    </r>
    <r>
      <rPr>
        <sz val="15"/>
        <rFont val="細明體"/>
        <family val="3"/>
        <charset val="136"/>
      </rPr>
      <t>　近</t>
    </r>
    <r>
      <rPr>
        <sz val="15"/>
        <rFont val="Times New Roman"/>
        <family val="1"/>
      </rPr>
      <t>10</t>
    </r>
    <r>
      <rPr>
        <sz val="15"/>
        <rFont val="細明體"/>
        <family val="3"/>
        <charset val="136"/>
      </rPr>
      <t>年少年矯正學校新入校受感化教育學生之性別與家庭經濟狀況</t>
    </r>
    <phoneticPr fontId="2" type="noConversion"/>
  </si>
  <si>
    <r>
      <rPr>
        <sz val="10"/>
        <rFont val="新細明體"/>
        <family val="1"/>
        <charset val="136"/>
      </rPr>
      <t>說　　明：</t>
    </r>
    <r>
      <rPr>
        <sz val="10"/>
        <rFont val="Times New Roman"/>
        <family val="1"/>
      </rPr>
      <t xml:space="preserve">1. </t>
    </r>
    <r>
      <rPr>
        <sz val="10"/>
        <rFont val="新細明體"/>
        <family val="1"/>
        <charset val="136"/>
      </rPr>
      <t>因應少年事件處理法部分條文修正，原虞犯行為停止適用，改為曝險行為。
　　　　　</t>
    </r>
    <r>
      <rPr>
        <sz val="10"/>
        <rFont val="Times New Roman"/>
        <family val="1"/>
      </rPr>
      <t xml:space="preserve">2. </t>
    </r>
    <r>
      <rPr>
        <sz val="10"/>
        <rFont val="新細明體"/>
        <family val="1"/>
        <charset val="136"/>
      </rPr>
      <t>因少年輔育院自</t>
    </r>
    <r>
      <rPr>
        <sz val="10"/>
        <rFont val="Times New Roman"/>
        <family val="1"/>
      </rPr>
      <t>110</t>
    </r>
    <r>
      <rPr>
        <sz val="10"/>
        <rFont val="新細明體"/>
        <family val="1"/>
        <charset val="136"/>
      </rPr>
      <t>年</t>
    </r>
    <r>
      <rPr>
        <sz val="10"/>
        <rFont val="Times New Roman"/>
        <family val="1"/>
      </rPr>
      <t>8</t>
    </r>
    <r>
      <rPr>
        <sz val="10"/>
        <rFont val="新細明體"/>
        <family val="1"/>
        <charset val="136"/>
      </rPr>
      <t>月後更名為矯正學校，爰整併本表少年輔育院、少年矯正學校用語為「少年矯正學校」。
　　　　　</t>
    </r>
    <r>
      <rPr>
        <sz val="10"/>
        <rFont val="Times New Roman"/>
        <family val="1"/>
      </rPr>
      <t>3. 110</t>
    </r>
    <r>
      <rPr>
        <sz val="10"/>
        <rFont val="新細明體"/>
        <family val="1"/>
        <charset val="136"/>
      </rPr>
      <t>年</t>
    </r>
    <r>
      <rPr>
        <sz val="10"/>
        <rFont val="Times New Roman"/>
        <family val="1"/>
      </rPr>
      <t>8</t>
    </r>
    <r>
      <rPr>
        <sz val="10"/>
        <rFont val="新細明體"/>
        <family val="1"/>
        <charset val="136"/>
      </rPr>
      <t>月</t>
    </r>
    <r>
      <rPr>
        <sz val="10"/>
        <rFont val="Times New Roman"/>
        <family val="1"/>
      </rPr>
      <t>1</t>
    </r>
    <r>
      <rPr>
        <sz val="10"/>
        <rFont val="新細明體"/>
        <family val="1"/>
        <charset val="136"/>
      </rPr>
      <t>日起，桃園少年輔育院及彰化少年輔育院改制為敦品中學及勵志中學。本表含改制前之桃園少年輔育院及彰化少年輔育院收容受感化教育學生。</t>
    </r>
    <phoneticPr fontId="37" type="noConversion"/>
  </si>
  <si>
    <t>妨害風化罪</t>
    <phoneticPr fontId="2" type="noConversion"/>
  </si>
  <si>
    <r>
      <rPr>
        <sz val="15"/>
        <rFont val="細明體"/>
        <family val="3"/>
        <charset val="136"/>
      </rPr>
      <t>表</t>
    </r>
    <r>
      <rPr>
        <sz val="15"/>
        <rFont val="Times New Roman"/>
        <family val="1"/>
      </rPr>
      <t xml:space="preserve">  3-3-11</t>
    </r>
    <r>
      <rPr>
        <sz val="15"/>
        <rFont val="細明體"/>
        <family val="3"/>
        <charset val="136"/>
      </rPr>
      <t>　近</t>
    </r>
    <r>
      <rPr>
        <sz val="15"/>
        <rFont val="Times New Roman"/>
        <family val="1"/>
      </rPr>
      <t>10</t>
    </r>
    <r>
      <rPr>
        <sz val="15"/>
        <rFont val="細明體"/>
        <family val="3"/>
        <charset val="136"/>
      </rPr>
      <t>年少年矯正學校新入校受感化教育學生之性別與罪名</t>
    </r>
    <phoneticPr fontId="2" type="noConversion"/>
  </si>
  <si>
    <r>
      <t>103年底</t>
    </r>
    <r>
      <rPr>
        <sz val="12"/>
        <rFont val="PMingLiU"/>
        <family val="1"/>
        <charset val="136"/>
      </rPr>
      <t/>
    </r>
  </si>
  <si>
    <r>
      <t>104年底</t>
    </r>
    <r>
      <rPr>
        <sz val="12"/>
        <rFont val="PMingLiU"/>
        <family val="1"/>
        <charset val="136"/>
      </rPr>
      <t/>
    </r>
  </si>
  <si>
    <r>
      <t>105年底</t>
    </r>
    <r>
      <rPr>
        <sz val="12"/>
        <rFont val="PMingLiU"/>
        <family val="1"/>
        <charset val="136"/>
      </rPr>
      <t/>
    </r>
  </si>
  <si>
    <r>
      <t>106年底</t>
    </r>
    <r>
      <rPr>
        <sz val="12"/>
        <rFont val="PMingLiU"/>
        <family val="1"/>
        <charset val="136"/>
      </rPr>
      <t/>
    </r>
  </si>
  <si>
    <r>
      <t>107年底</t>
    </r>
    <r>
      <rPr>
        <sz val="12"/>
        <rFont val="PMingLiU"/>
        <family val="1"/>
        <charset val="136"/>
      </rPr>
      <t/>
    </r>
  </si>
  <si>
    <r>
      <rPr>
        <sz val="15"/>
        <color theme="1"/>
        <rFont val="新細明體"/>
        <family val="1"/>
        <charset val="136"/>
      </rPr>
      <t>表</t>
    </r>
    <r>
      <rPr>
        <sz val="15"/>
        <color theme="1"/>
        <rFont val="Times New Roman"/>
        <family val="1"/>
      </rPr>
      <t>3-3-12</t>
    </r>
    <r>
      <rPr>
        <sz val="15"/>
        <color theme="1"/>
        <rFont val="新細明體"/>
        <family val="1"/>
        <charset val="136"/>
      </rPr>
      <t>　近</t>
    </r>
    <r>
      <rPr>
        <sz val="15"/>
        <color theme="1"/>
        <rFont val="Times New Roman"/>
        <family val="1"/>
      </rPr>
      <t>10</t>
    </r>
    <r>
      <rPr>
        <sz val="15"/>
        <color theme="1"/>
        <rFont val="新細明體"/>
        <family val="1"/>
        <charset val="136"/>
      </rPr>
      <t>年明陽中學在校少年受刑人之性別</t>
    </r>
    <phoneticPr fontId="37" type="noConversion"/>
  </si>
  <si>
    <r>
      <rPr>
        <sz val="12"/>
        <color rgb="FF002060"/>
        <rFont val="新細明體"/>
        <family val="1"/>
        <charset val="136"/>
      </rPr>
      <t>表</t>
    </r>
    <r>
      <rPr>
        <sz val="12"/>
        <color rgb="FF002060"/>
        <rFont val="Times New Roman"/>
        <family val="1"/>
      </rPr>
      <t>3-3-1</t>
    </r>
    <r>
      <rPr>
        <sz val="12"/>
        <color rgb="FF002060"/>
        <rFont val="新細明體"/>
        <family val="1"/>
        <charset val="136"/>
      </rPr>
      <t>　近</t>
    </r>
    <r>
      <rPr>
        <sz val="12"/>
        <color rgb="FF002060"/>
        <rFont val="Times New Roman"/>
        <family val="1"/>
      </rPr>
      <t>9</t>
    </r>
    <r>
      <rPr>
        <sz val="12"/>
        <color rgb="FF002060"/>
        <rFont val="新細明體"/>
        <family val="1"/>
        <charset val="136"/>
      </rPr>
      <t>年少年觀護所新入所收容</t>
    </r>
    <r>
      <rPr>
        <sz val="12"/>
        <color rgb="FF002060"/>
        <rFont val="Times New Roman"/>
        <family val="1"/>
      </rPr>
      <t>/</t>
    </r>
    <r>
      <rPr>
        <sz val="12"/>
        <color rgb="FF002060"/>
        <rFont val="新細明體"/>
        <family val="1"/>
        <charset val="136"/>
      </rPr>
      <t>羈押人數與性別</t>
    </r>
    <phoneticPr fontId="2" type="noConversion"/>
  </si>
  <si>
    <t>表3-3-2　近10年少年觀護所新入所收容/羈押少年之性別與年齡</t>
  </si>
  <si>
    <t>表3-3-3　近10年少年觀護所新入所收容/羈押少年之性別與教育程度</t>
  </si>
  <si>
    <t>表3-3-4　近10年少年觀護所新入所收容/羈押少年之性別與家庭經濟狀況</t>
  </si>
  <si>
    <t>表3-3-5　近10年少年觀護所新入所收容/羈押少年之性別與罪名</t>
  </si>
  <si>
    <t>表3-3-6　近10年少年矯正學校新入校受感化教育學生之性別</t>
  </si>
  <si>
    <t>表3-3-7　近10年少年矯正學校實際出校的感化教育學生之性別</t>
  </si>
  <si>
    <t>表3-3-8　近10年少年矯正學校新入校受感化教育學生之性別與年齡</t>
  </si>
  <si>
    <t>表3-3-9　近10年少年矯正學校新入校受感化教育學生之性別與教育程度</t>
  </si>
  <si>
    <t>表3-3-10　近10年少年矯正學校新入校受感化教育學生之性別與家庭經濟狀況</t>
  </si>
  <si>
    <t>表3-3-11　近10年少年矯正學校新入校受感化教育學生之性別與罪名</t>
  </si>
  <si>
    <t>表3-3-12　近10年明陽中學在校少年受刑人之性別</t>
  </si>
  <si>
    <r>
      <rPr>
        <sz val="12"/>
        <color rgb="FF002060"/>
        <rFont val="新細明體"/>
        <family val="1"/>
        <charset val="136"/>
      </rPr>
      <t>表</t>
    </r>
    <r>
      <rPr>
        <sz val="12"/>
        <color rgb="FF002060"/>
        <rFont val="Times New Roman"/>
        <family val="1"/>
      </rPr>
      <t>3-1-1</t>
    </r>
    <r>
      <rPr>
        <sz val="12"/>
        <color rgb="FF002060"/>
        <rFont val="新細明體"/>
        <family val="1"/>
        <charset val="136"/>
      </rPr>
      <t>　近</t>
    </r>
    <r>
      <rPr>
        <sz val="12"/>
        <color rgb="FF002060"/>
        <rFont val="Times New Roman"/>
        <family val="1"/>
      </rPr>
      <t>10</t>
    </r>
    <r>
      <rPr>
        <sz val="12"/>
        <color rgb="FF002060"/>
        <rFont val="新細明體"/>
        <family val="1"/>
        <charset val="136"/>
      </rPr>
      <t>年少年犯罪嫌疑人數與犯罪人口率</t>
    </r>
  </si>
  <si>
    <r>
      <rPr>
        <sz val="12"/>
        <color rgb="FF002060"/>
        <rFont val="新細明體"/>
        <family val="1"/>
        <charset val="136"/>
      </rPr>
      <t>表</t>
    </r>
    <r>
      <rPr>
        <sz val="12"/>
        <color rgb="FF002060"/>
        <rFont val="Times New Roman"/>
        <family val="1"/>
      </rPr>
      <t>3-1-2</t>
    </r>
    <r>
      <rPr>
        <sz val="12"/>
        <color rgb="FF002060"/>
        <rFont val="新細明體"/>
        <family val="1"/>
        <charset val="136"/>
      </rPr>
      <t>　近</t>
    </r>
    <r>
      <rPr>
        <sz val="12"/>
        <color rgb="FF002060"/>
        <rFont val="Times New Roman"/>
        <family val="1"/>
      </rPr>
      <t>10</t>
    </r>
    <r>
      <rPr>
        <sz val="12"/>
        <color rgb="FF002060"/>
        <rFont val="新細明體"/>
        <family val="1"/>
        <charset val="136"/>
      </rPr>
      <t>年少年嫌疑人之主要犯罪類別</t>
    </r>
  </si>
  <si>
    <t>第一章</t>
    <phoneticPr fontId="2" type="noConversion"/>
  </si>
  <si>
    <t>第二章</t>
    <phoneticPr fontId="2" type="noConversion"/>
  </si>
  <si>
    <t>第三章</t>
    <phoneticPr fontId="2" type="noConversion"/>
  </si>
  <si>
    <r>
      <rPr>
        <sz val="12"/>
        <color theme="4" tint="-0.499984740745262"/>
        <rFont val="新細明體"/>
        <family val="1"/>
        <charset val="136"/>
      </rPr>
      <t>表</t>
    </r>
    <r>
      <rPr>
        <sz val="12"/>
        <color theme="4" tint="-0.499984740745262"/>
        <rFont val="Times New Roman"/>
        <family val="1"/>
      </rPr>
      <t>3-1-3    112</t>
    </r>
    <r>
      <rPr>
        <sz val="12"/>
        <color theme="4" tint="-0.499984740745262"/>
        <rFont val="新細明體"/>
        <family val="1"/>
        <charset val="136"/>
      </rPr>
      <t>年少年輔導委員會之曝險案件處理情形</t>
    </r>
    <phoneticPr fontId="2" type="noConversion"/>
  </si>
  <si>
    <t>「中華民國一一二年犯罪狀況及其分析」第三篇表次</t>
    <phoneticPr fontId="20" type="noConversion"/>
  </si>
  <si>
    <r>
      <rPr>
        <sz val="12"/>
        <color rgb="FF002060"/>
        <rFont val="新細明體"/>
        <family val="1"/>
        <charset val="136"/>
      </rPr>
      <t>表</t>
    </r>
    <r>
      <rPr>
        <sz val="12"/>
        <color rgb="FF002060"/>
        <rFont val="Times New Roman"/>
        <family val="1"/>
      </rPr>
      <t>3-2-2</t>
    </r>
    <r>
      <rPr>
        <sz val="12"/>
        <color rgb="FF002060"/>
        <rFont val="新細明體"/>
        <family val="1"/>
        <charset val="136"/>
      </rPr>
      <t>　近</t>
    </r>
    <r>
      <rPr>
        <sz val="12"/>
        <color rgb="FF002060"/>
        <rFont val="Times New Roman"/>
        <family val="1"/>
      </rPr>
      <t>10</t>
    </r>
    <r>
      <rPr>
        <sz val="12"/>
        <color rgb="FF002060"/>
        <rFont val="新細明體"/>
        <family val="1"/>
        <charset val="136"/>
      </rPr>
      <t>年少年保護事件審理終結情形</t>
    </r>
    <phoneticPr fontId="2" type="noConversion"/>
  </si>
  <si>
    <r>
      <rPr>
        <sz val="12"/>
        <color theme="1"/>
        <rFont val="細明體"/>
        <family val="3"/>
        <charset val="136"/>
      </rPr>
      <t>少年符合</t>
    </r>
    <r>
      <rPr>
        <sz val="12"/>
        <color theme="1"/>
        <rFont val="Times New Roman"/>
        <family val="1"/>
      </rPr>
      <t>§27I</t>
    </r>
    <r>
      <rPr>
        <sz val="12"/>
        <color theme="1"/>
        <rFont val="細明體"/>
        <family val="3"/>
        <charset val="136"/>
      </rPr>
      <t>要件（</t>
    </r>
    <r>
      <rPr>
        <sz val="12"/>
        <color theme="1"/>
        <rFont val="Times New Roman"/>
        <family val="1"/>
      </rPr>
      <t>§40</t>
    </r>
    <r>
      <rPr>
        <sz val="12"/>
        <color theme="1"/>
        <rFont val="細明體"/>
        <family val="3"/>
        <charset val="136"/>
      </rPr>
      <t>）</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</si>
</sst>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2" formatCode="_-&quot;$&quot;* #,##0_-;\-&quot;$&quot;* #,##0_-;_-&quot;$&quot;* &quot;-&quot;_-;_-@_-"/>
    <numFmt numFmtId="41" formatCode="_-* #,##0_-;\-* #,##0_-;_-* &quot;-&quot;_-;_-@_-"/>
    <numFmt numFmtId="44" formatCode="_-&quot;$&quot;* #,##0.00_-;\-&quot;$&quot;* #,##0.00_-;_-&quot;$&quot;* &quot;-&quot;??_-;_-@_-"/>
    <numFmt numFmtId="43" formatCode="_-* #,##0.00_-;\-* #,##0.00_-;_-* &quot;-&quot;??_-;_-@_-"/>
    <numFmt numFmtId="176" formatCode="_(* #,##0_);_(* \(#,##0\);_(* &quot;-&quot;_);_(@_)"/>
    <numFmt numFmtId="177" formatCode="0.00_);[Red]\(0.00\)"/>
    <numFmt numFmtId="178" formatCode="\-"/>
    <numFmt numFmtId="179" formatCode="#,##0.00_ "/>
    <numFmt numFmtId="180" formatCode="#,##0_ "/>
    <numFmt numFmtId="181" formatCode="0.00_ "/>
    <numFmt numFmtId="182" formatCode="#,##0;[Red]#,##0"/>
    <numFmt numFmtId="183" formatCode="_-* #,##0_-;\-* #,##0_-;_-* &quot;-&quot;??_-;_-@_-"/>
    <numFmt numFmtId="184" formatCode="0_ "/>
    <numFmt numFmtId="185" formatCode="0_);[Red]\(0\)"/>
    <numFmt numFmtId="186" formatCode="#,##0;\-#,##0;\-"/>
    <numFmt numFmtId="187" formatCode="#,##0.00;\-#,##0.00;\-"/>
    <numFmt numFmtId="188" formatCode="_(* #,##0_);_(* \(#,##0\);_(* &quot;-&quot;??_);_(@_)"/>
    <numFmt numFmtId="189" formatCode="_-* #,##0.00_-;\-* #,##0.00_-;_-* &quot;-&quot;_-;_-@_-"/>
  </numFmts>
  <fonts count="82">
    <font>
      <sz val="12"/>
      <color theme="1"/>
      <name val="新細明體"/>
      <family val="2"/>
      <charset val="136"/>
      <scheme val="minor"/>
    </font>
    <font>
      <sz val="12"/>
      <name val="新細明體"/>
      <family val="1"/>
      <charset val="136"/>
    </font>
    <font>
      <sz val="9"/>
      <name val="新細明體"/>
      <family val="2"/>
      <charset val="136"/>
      <scheme val="minor"/>
    </font>
    <font>
      <sz val="9"/>
      <name val="細明體"/>
      <family val="3"/>
      <charset val="136"/>
    </font>
    <font>
      <sz val="15"/>
      <color rgb="FF000000"/>
      <name val="Times New Roman"/>
      <family val="1"/>
      <charset val="136"/>
    </font>
    <font>
      <sz val="15"/>
      <color rgb="FF000000"/>
      <name val="新細明體"/>
      <family val="1"/>
      <charset val="136"/>
    </font>
    <font>
      <sz val="15"/>
      <color rgb="FF000000"/>
      <name val="Times New Roman"/>
      <family val="1"/>
    </font>
    <font>
      <sz val="12"/>
      <color rgb="FF000000"/>
      <name val="新細明體"/>
      <family val="2"/>
      <charset val="136"/>
    </font>
    <font>
      <sz val="12"/>
      <color rgb="FF000000"/>
      <name val="Times New Roman"/>
      <family val="1"/>
    </font>
    <font>
      <sz val="12"/>
      <color rgb="FF000000"/>
      <name val="新細明體"/>
      <family val="1"/>
      <charset val="136"/>
    </font>
    <font>
      <sz val="12"/>
      <color rgb="FF000000"/>
      <name val="細明體"/>
      <family val="3"/>
      <charset val="136"/>
    </font>
    <font>
      <sz val="9"/>
      <name val="新細明體"/>
      <family val="2"/>
      <charset val="136"/>
    </font>
    <font>
      <sz val="10"/>
      <color rgb="FF000000"/>
      <name val="Times New Roman"/>
      <family val="1"/>
    </font>
    <font>
      <sz val="10"/>
      <color rgb="FF000000"/>
      <name val="新細明體"/>
      <family val="1"/>
      <charset val="136"/>
    </font>
    <font>
      <sz val="15"/>
      <name val="Times New Roman"/>
      <family val="1"/>
    </font>
    <font>
      <sz val="15"/>
      <name val="新細明體"/>
      <family val="1"/>
      <charset val="136"/>
    </font>
    <font>
      <sz val="12"/>
      <name val="Times New Roman"/>
      <family val="1"/>
    </font>
    <font>
      <sz val="12"/>
      <name val="PMingLiU"/>
      <family val="1"/>
      <charset val="136"/>
    </font>
    <font>
      <sz val="10"/>
      <name val="Times New Roman"/>
      <family val="1"/>
    </font>
    <font>
      <sz val="10"/>
      <name val="新細明體"/>
      <family val="1"/>
      <charset val="136"/>
    </font>
    <font>
      <sz val="9"/>
      <name val="新細明體"/>
      <family val="3"/>
      <charset val="136"/>
      <scheme val="minor"/>
    </font>
    <font>
      <sz val="11"/>
      <name val="Times New Roman"/>
      <family val="1"/>
    </font>
    <font>
      <sz val="11"/>
      <name val="新細明體"/>
      <family val="1"/>
      <charset val="136"/>
    </font>
    <font>
      <sz val="15"/>
      <color theme="1"/>
      <name val="Times New Roman"/>
      <family val="1"/>
    </font>
    <font>
      <sz val="15"/>
      <color theme="1"/>
      <name val="新細明體"/>
      <family val="1"/>
      <charset val="136"/>
    </font>
    <font>
      <sz val="12"/>
      <color theme="1"/>
      <name val="Times New Roman"/>
      <family val="1"/>
    </font>
    <font>
      <sz val="12"/>
      <color theme="1"/>
      <name val="新細明體"/>
      <family val="1"/>
      <charset val="136"/>
      <scheme val="major"/>
    </font>
    <font>
      <sz val="10"/>
      <color theme="1"/>
      <name val="Times New Roman"/>
      <family val="1"/>
    </font>
    <font>
      <sz val="10"/>
      <color theme="1"/>
      <name val="新細明體"/>
      <family val="1"/>
      <charset val="136"/>
    </font>
    <font>
      <sz val="12"/>
      <color theme="1"/>
      <name val="新細明體"/>
      <family val="2"/>
    </font>
    <font>
      <sz val="12"/>
      <color theme="1"/>
      <name val="新細明體"/>
      <family val="1"/>
      <charset val="136"/>
      <scheme val="minor"/>
    </font>
    <font>
      <sz val="10"/>
      <name val="細明體"/>
      <family val="3"/>
      <charset val="136"/>
    </font>
    <font>
      <sz val="12"/>
      <color theme="1"/>
      <name val="新細明體"/>
      <family val="2"/>
      <charset val="136"/>
    </font>
    <font>
      <sz val="12"/>
      <color theme="1"/>
      <name val="Times Roman"/>
    </font>
    <font>
      <sz val="14"/>
      <color theme="1"/>
      <name val="新細明體"/>
      <family val="2"/>
      <charset val="136"/>
    </font>
    <font>
      <sz val="14"/>
      <color theme="1"/>
      <name val="Times New Roman"/>
      <family val="1"/>
    </font>
    <font>
      <sz val="12"/>
      <color theme="1"/>
      <name val="新細明體"/>
      <family val="1"/>
      <charset val="136"/>
    </font>
    <font>
      <sz val="9"/>
      <name val="新細明體"/>
      <family val="1"/>
      <charset val="136"/>
    </font>
    <font>
      <sz val="11"/>
      <color theme="1"/>
      <name val="新細明體"/>
      <family val="1"/>
      <charset val="136"/>
      <scheme val="major"/>
    </font>
    <font>
      <sz val="12"/>
      <name val="細明體"/>
      <family val="3"/>
      <charset val="136"/>
    </font>
    <font>
      <sz val="12"/>
      <name val="標楷體"/>
      <family val="4"/>
      <charset val="136"/>
    </font>
    <font>
      <sz val="12"/>
      <color theme="1"/>
      <name val="Times New Roman"/>
      <family val="2"/>
    </font>
    <font>
      <sz val="10"/>
      <color theme="1"/>
      <name val="Times New Roman"/>
      <family val="1"/>
      <charset val="136"/>
    </font>
    <font>
      <b/>
      <sz val="10"/>
      <color theme="1"/>
      <name val="Times New Roman"/>
      <family val="1"/>
    </font>
    <font>
      <b/>
      <sz val="10"/>
      <color theme="1"/>
      <name val="新細明體"/>
      <family val="1"/>
      <charset val="136"/>
    </font>
    <font>
      <sz val="12"/>
      <name val="Times New Roman"/>
      <family val="3"/>
    </font>
    <font>
      <sz val="12"/>
      <color theme="1"/>
      <name val="PMingLiU"/>
      <family val="1"/>
      <charset val="136"/>
    </font>
    <font>
      <sz val="12"/>
      <color theme="1"/>
      <name val="新細明體"/>
      <family val="2"/>
      <charset val="136"/>
      <scheme val="minor"/>
    </font>
    <font>
      <sz val="11"/>
      <name val="細明體"/>
      <family val="3"/>
      <charset val="136"/>
    </font>
    <font>
      <sz val="12"/>
      <name val="華康中楷體"/>
      <family val="3"/>
      <charset val="136"/>
    </font>
    <font>
      <b/>
      <sz val="12"/>
      <color theme="1"/>
      <name val="Times New Roman"/>
      <family val="1"/>
    </font>
    <font>
      <sz val="12"/>
      <color rgb="FF00B050"/>
      <name val="Times New Roman"/>
      <family val="1"/>
    </font>
    <font>
      <sz val="12"/>
      <color theme="1"/>
      <name val="新細明體"/>
      <family val="1"/>
      <scheme val="minor"/>
    </font>
    <font>
      <sz val="12"/>
      <color theme="1"/>
      <name val="細明體"/>
      <family val="3"/>
      <charset val="136"/>
    </font>
    <font>
      <sz val="10"/>
      <color theme="1"/>
      <name val="新細明體"/>
      <family val="2"/>
      <charset val="136"/>
    </font>
    <font>
      <sz val="12"/>
      <color theme="1"/>
      <name val="新細明體"/>
      <family val="2"/>
      <scheme val="minor"/>
    </font>
    <font>
      <b/>
      <sz val="12"/>
      <color theme="1"/>
      <name val="新細明體"/>
      <family val="1"/>
      <charset val="136"/>
    </font>
    <font>
      <u/>
      <sz val="12"/>
      <color theme="10"/>
      <name val="新細明體"/>
      <family val="2"/>
      <charset val="136"/>
      <scheme val="minor"/>
    </font>
    <font>
      <b/>
      <u/>
      <sz val="12"/>
      <color rgb="FF0070C0"/>
      <name val="新細明體"/>
      <family val="1"/>
      <charset val="136"/>
      <scheme val="minor"/>
    </font>
    <font>
      <sz val="15"/>
      <color theme="1"/>
      <name val="細明體"/>
      <family val="3"/>
      <charset val="136"/>
    </font>
    <font>
      <sz val="15"/>
      <name val="細明體"/>
      <family val="3"/>
      <charset val="136"/>
    </font>
    <font>
      <sz val="12"/>
      <color rgb="FF002060"/>
      <name val="Times New Roman"/>
      <family val="1"/>
    </font>
    <font>
      <sz val="12"/>
      <color rgb="FF002060"/>
      <name val="新細明體"/>
      <family val="2"/>
      <charset val="136"/>
    </font>
    <font>
      <u/>
      <sz val="12"/>
      <color theme="10"/>
      <name val="Times New Roman"/>
      <family val="1"/>
    </font>
    <font>
      <sz val="12"/>
      <color rgb="FF002060"/>
      <name val="新細明體"/>
      <family val="1"/>
      <charset val="136"/>
    </font>
    <font>
      <sz val="11"/>
      <color theme="1"/>
      <name val="Times New Roman"/>
      <family val="1"/>
    </font>
    <font>
      <sz val="11"/>
      <color theme="1"/>
      <name val="細明體"/>
      <family val="3"/>
      <charset val="136"/>
    </font>
    <font>
      <b/>
      <sz val="12"/>
      <color theme="1"/>
      <name val="細明體"/>
      <family val="3"/>
      <charset val="136"/>
    </font>
    <font>
      <sz val="10"/>
      <color theme="1"/>
      <name val="細明體"/>
      <family val="3"/>
      <charset val="136"/>
    </font>
    <font>
      <sz val="10"/>
      <color rgb="FF000000"/>
      <name val="Times New Roman"/>
      <family val="1"/>
      <charset val="136"/>
    </font>
    <font>
      <sz val="12"/>
      <name val="Microsoft JhengHei"/>
      <family val="1"/>
    </font>
    <font>
      <sz val="12"/>
      <color theme="1"/>
      <name val="Microsoft JhengHei"/>
      <family val="1"/>
    </font>
    <font>
      <sz val="15"/>
      <color theme="1"/>
      <name val="Times New Roman"/>
      <family val="1"/>
      <charset val="136"/>
    </font>
    <font>
      <sz val="15"/>
      <color theme="1"/>
      <name val="Times New Roman"/>
      <family val="3"/>
      <charset val="136"/>
    </font>
    <font>
      <sz val="12"/>
      <color theme="1"/>
      <name val="Microsoft JhengHei"/>
      <family val="1"/>
      <charset val="136"/>
    </font>
    <font>
      <sz val="10"/>
      <name val="Microsoft JhengHei"/>
      <family val="1"/>
    </font>
    <font>
      <b/>
      <u/>
      <sz val="12"/>
      <color rgb="FF0070C0"/>
      <name val="Times New Roman"/>
      <family val="1"/>
    </font>
    <font>
      <b/>
      <u/>
      <sz val="12"/>
      <color rgb="FF0070C0"/>
      <name val="新細明體"/>
      <family val="1"/>
      <charset val="136"/>
    </font>
    <font>
      <b/>
      <sz val="12"/>
      <color theme="5" tint="-0.499984740745262"/>
      <name val="Times New Roman"/>
      <family val="1"/>
    </font>
    <font>
      <b/>
      <sz val="12"/>
      <color theme="5" tint="-0.499984740745262"/>
      <name val="新細明體"/>
      <family val="1"/>
      <charset val="136"/>
    </font>
    <font>
      <sz val="12"/>
      <color theme="4" tint="-0.499984740745262"/>
      <name val="Times New Roman"/>
      <family val="1"/>
    </font>
    <font>
      <sz val="12"/>
      <color theme="4" tint="-0.499984740745262"/>
      <name val="新細明體"/>
      <family val="1"/>
      <charset val="136"/>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33">
    <border>
      <left/>
      <right/>
      <top/>
      <bottom/>
      <diagonal/>
    </border>
    <border>
      <left/>
      <right/>
      <top style="thin">
        <color indexed="64"/>
      </top>
      <bottom/>
      <diagonal/>
    </border>
    <border>
      <left/>
      <right/>
      <top style="thin">
        <color indexed="64"/>
      </top>
      <bottom style="thin">
        <color indexed="64"/>
      </bottom>
      <diagonal/>
    </border>
    <border>
      <left/>
      <right/>
      <top/>
      <bottom style="thin">
        <color auto="1"/>
      </bottom>
      <diagonal/>
    </border>
    <border>
      <left style="thin">
        <color auto="1"/>
      </left>
      <right/>
      <top/>
      <bottom style="thin">
        <color auto="1"/>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auto="1"/>
      </right>
      <top/>
      <bottom/>
      <diagonal/>
    </border>
    <border>
      <left/>
      <right/>
      <top/>
      <bottom style="medium">
        <color indexed="64"/>
      </bottom>
      <diagonal/>
    </border>
    <border>
      <left/>
      <right/>
      <top style="medium">
        <color indexed="64"/>
      </top>
      <bottom/>
      <diagonal/>
    </border>
    <border>
      <left/>
      <right/>
      <top style="medium">
        <color indexed="64"/>
      </top>
      <bottom style="thin">
        <color auto="1"/>
      </bottom>
      <diagonal/>
    </border>
    <border>
      <left/>
      <right/>
      <top/>
      <bottom style="thick">
        <color auto="1"/>
      </bottom>
      <diagonal/>
    </border>
    <border>
      <left/>
      <right/>
      <top style="thick">
        <color auto="1"/>
      </top>
      <bottom style="thin">
        <color auto="1"/>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top/>
      <bottom/>
      <diagonal/>
    </border>
    <border>
      <left style="medium">
        <color auto="1"/>
      </left>
      <right/>
      <top style="thin">
        <color auto="1"/>
      </top>
      <bottom/>
      <diagonal/>
    </border>
    <border>
      <left style="medium">
        <color auto="1"/>
      </left>
      <right/>
      <top/>
      <bottom/>
      <diagonal/>
    </border>
    <border>
      <left style="thin">
        <color auto="1"/>
      </left>
      <right style="thin">
        <color auto="1"/>
      </right>
      <top style="mediumDashed">
        <color auto="1"/>
      </top>
      <bottom/>
      <diagonal/>
    </border>
    <border>
      <left style="thin">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thin">
        <color auto="1"/>
      </left>
      <right/>
      <top/>
      <bottom style="medium">
        <color auto="1"/>
      </bottom>
      <diagonal/>
    </border>
    <border>
      <left style="medium">
        <color auto="1"/>
      </left>
      <right/>
      <top style="medium">
        <color auto="1"/>
      </top>
      <bottom style="thin">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medium">
        <color auto="1"/>
      </left>
      <right/>
      <top style="thin">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s>
  <cellStyleXfs count="13">
    <xf numFmtId="0" fontId="0" fillId="0" borderId="0">
      <alignment vertical="center"/>
    </xf>
    <xf numFmtId="0" fontId="1" fillId="0" borderId="0"/>
    <xf numFmtId="43" fontId="1" fillId="0" borderId="0" applyFont="0" applyFill="0" applyBorder="0" applyAlignment="0" applyProtection="0"/>
    <xf numFmtId="0" fontId="30" fillId="0" borderId="0">
      <alignment vertical="center"/>
    </xf>
    <xf numFmtId="0" fontId="16" fillId="0" borderId="0"/>
    <xf numFmtId="176" fontId="16" fillId="0" borderId="0" applyFont="0" applyFill="0" applyBorder="0" applyAlignment="0" applyProtection="0"/>
    <xf numFmtId="0" fontId="1" fillId="0" borderId="0">
      <alignment vertical="center"/>
    </xf>
    <xf numFmtId="0" fontId="47" fillId="0" borderId="0">
      <alignment vertical="center"/>
    </xf>
    <xf numFmtId="0" fontId="49" fillId="0" borderId="0"/>
    <xf numFmtId="0" fontId="16" fillId="0" borderId="0"/>
    <xf numFmtId="0" fontId="55" fillId="0" borderId="0">
      <alignment vertical="center"/>
    </xf>
    <xf numFmtId="0" fontId="57" fillId="0" borderId="0" applyNumberFormat="0" applyFill="0" applyBorder="0" applyAlignment="0" applyProtection="0">
      <alignment vertical="center"/>
    </xf>
    <xf numFmtId="0" fontId="47" fillId="0" borderId="3">
      <alignment vertical="center"/>
    </xf>
  </cellStyleXfs>
  <cellXfs count="565">
    <xf numFmtId="0" fontId="0" fillId="0" borderId="0" xfId="0">
      <alignment vertical="center"/>
    </xf>
    <xf numFmtId="0" fontId="8" fillId="0" borderId="0" xfId="1" applyFont="1"/>
    <xf numFmtId="0" fontId="12" fillId="0" borderId="0" xfId="1" applyFont="1" applyAlignment="1">
      <alignment horizontal="left" vertical="center"/>
    </xf>
    <xf numFmtId="0" fontId="16" fillId="0" borderId="2" xfId="1" applyFont="1" applyBorder="1" applyAlignment="1">
      <alignment horizontal="center" vertical="distributed" textRotation="255" indent="1"/>
    </xf>
    <xf numFmtId="0" fontId="16" fillId="0" borderId="0" xfId="1" applyFont="1" applyAlignment="1">
      <alignment horizontal="center" vertical="center"/>
    </xf>
    <xf numFmtId="41" fontId="16" fillId="0" borderId="0" xfId="1" applyNumberFormat="1" applyFont="1" applyAlignment="1">
      <alignment horizontal="right" vertical="center"/>
    </xf>
    <xf numFmtId="0" fontId="16" fillId="0" borderId="3" xfId="1" applyFont="1" applyBorder="1" applyAlignment="1">
      <alignment horizontal="center" vertical="center"/>
    </xf>
    <xf numFmtId="41" fontId="16" fillId="0" borderId="3" xfId="1" applyNumberFormat="1" applyFont="1" applyBorder="1" applyAlignment="1">
      <alignment horizontal="right" vertical="center"/>
    </xf>
    <xf numFmtId="0" fontId="16" fillId="0" borderId="2" xfId="1" applyFont="1" applyBorder="1" applyAlignment="1">
      <alignment horizontal="center" vertical="center"/>
    </xf>
    <xf numFmtId="41" fontId="16" fillId="0" borderId="2" xfId="1" applyNumberFormat="1" applyFont="1" applyBorder="1" applyAlignment="1">
      <alignment horizontal="right" vertical="center"/>
    </xf>
    <xf numFmtId="41" fontId="16" fillId="0" borderId="1" xfId="1" applyNumberFormat="1" applyFont="1" applyBorder="1" applyAlignment="1">
      <alignment horizontal="right" vertical="center"/>
    </xf>
    <xf numFmtId="0" fontId="16" fillId="0" borderId="0" xfId="1" applyFont="1"/>
    <xf numFmtId="0" fontId="25" fillId="0" borderId="1" xfId="1" applyFont="1" applyBorder="1" applyAlignment="1">
      <alignment horizontal="center" vertical="center"/>
    </xf>
    <xf numFmtId="0" fontId="25" fillId="0" borderId="0" xfId="1" applyFont="1" applyAlignment="1">
      <alignment horizontal="center" vertical="center"/>
    </xf>
    <xf numFmtId="41" fontId="25" fillId="0" borderId="0" xfId="1" applyNumberFormat="1" applyFont="1" applyAlignment="1">
      <alignment horizontal="right" vertical="center"/>
    </xf>
    <xf numFmtId="43" fontId="25" fillId="0" borderId="0" xfId="1" applyNumberFormat="1" applyFont="1" applyAlignment="1">
      <alignment horizontal="right" vertical="center"/>
    </xf>
    <xf numFmtId="0" fontId="16" fillId="0" borderId="1" xfId="1" applyFont="1" applyBorder="1" applyAlignment="1">
      <alignment horizontal="center" vertical="center"/>
    </xf>
    <xf numFmtId="0" fontId="25" fillId="0" borderId="2" xfId="1" applyFont="1" applyBorder="1" applyAlignment="1">
      <alignment horizontal="center" vertical="center"/>
    </xf>
    <xf numFmtId="38" fontId="16" fillId="0" borderId="0" xfId="1" applyNumberFormat="1" applyFont="1" applyAlignment="1">
      <alignment horizontal="right" vertical="center" shrinkToFit="1"/>
    </xf>
    <xf numFmtId="177" fontId="16" fillId="0" borderId="0" xfId="1" applyNumberFormat="1" applyFont="1" applyAlignment="1">
      <alignment horizontal="right" vertical="center"/>
    </xf>
    <xf numFmtId="0" fontId="16" fillId="0" borderId="0" xfId="1" applyFont="1" applyAlignment="1">
      <alignment horizontal="right"/>
    </xf>
    <xf numFmtId="0" fontId="16" fillId="0" borderId="3" xfId="1" applyFont="1" applyBorder="1" applyAlignment="1">
      <alignment horizontal="right"/>
    </xf>
    <xf numFmtId="38" fontId="16" fillId="0" borderId="3" xfId="1" applyNumberFormat="1" applyFont="1" applyBorder="1" applyAlignment="1">
      <alignment horizontal="right" vertical="center" shrinkToFit="1"/>
    </xf>
    <xf numFmtId="177" fontId="16" fillId="0" borderId="3" xfId="1" applyNumberFormat="1" applyFont="1" applyBorder="1" applyAlignment="1">
      <alignment horizontal="right" vertical="center"/>
    </xf>
    <xf numFmtId="0" fontId="16" fillId="0" borderId="0" xfId="3" applyFont="1" applyAlignment="1">
      <alignment horizontal="distributed" vertical="center" wrapText="1"/>
    </xf>
    <xf numFmtId="38" fontId="16" fillId="0" borderId="8" xfId="1" applyNumberFormat="1" applyFont="1" applyBorder="1" applyAlignment="1">
      <alignment horizontal="right" vertical="center" shrinkToFit="1"/>
    </xf>
    <xf numFmtId="41" fontId="16" fillId="0" borderId="8" xfId="1" applyNumberFormat="1" applyFont="1" applyBorder="1" applyAlignment="1">
      <alignment horizontal="right" vertical="center"/>
    </xf>
    <xf numFmtId="177" fontId="16" fillId="0" borderId="8" xfId="1" applyNumberFormat="1" applyFont="1" applyBorder="1" applyAlignment="1">
      <alignment horizontal="right" vertical="center"/>
    </xf>
    <xf numFmtId="0" fontId="16" fillId="0" borderId="9" xfId="1" applyFont="1" applyBorder="1" applyAlignment="1">
      <alignment horizontal="center" vertical="center"/>
    </xf>
    <xf numFmtId="41" fontId="16" fillId="0" borderId="1" xfId="1" applyNumberFormat="1" applyFont="1" applyBorder="1" applyAlignment="1">
      <alignment horizontal="right" vertical="center" shrinkToFit="1"/>
    </xf>
    <xf numFmtId="43" fontId="16" fillId="0" borderId="1" xfId="1" applyNumberFormat="1" applyFont="1" applyBorder="1" applyAlignment="1">
      <alignment horizontal="right" vertical="center"/>
    </xf>
    <xf numFmtId="2" fontId="16" fillId="0" borderId="0" xfId="1" applyNumberFormat="1" applyFont="1"/>
    <xf numFmtId="41" fontId="16" fillId="0" borderId="0" xfId="1" applyNumberFormat="1" applyFont="1"/>
    <xf numFmtId="41" fontId="16" fillId="0" borderId="3" xfId="1" applyNumberFormat="1" applyFont="1" applyBorder="1"/>
    <xf numFmtId="0" fontId="16" fillId="0" borderId="1" xfId="3" applyFont="1" applyBorder="1" applyAlignment="1">
      <alignment horizontal="distributed" vertical="center" wrapText="1"/>
    </xf>
    <xf numFmtId="0" fontId="16" fillId="0" borderId="3" xfId="3" applyFont="1" applyBorder="1" applyAlignment="1">
      <alignment horizontal="distributed" vertical="center" wrapText="1"/>
    </xf>
    <xf numFmtId="43" fontId="16" fillId="0" borderId="0" xfId="1" applyNumberFormat="1" applyFont="1" applyAlignment="1">
      <alignment horizontal="right" vertical="center"/>
    </xf>
    <xf numFmtId="0" fontId="16" fillId="0" borderId="8" xfId="3" applyFont="1" applyBorder="1" applyAlignment="1">
      <alignment horizontal="distributed" vertical="center" wrapText="1"/>
    </xf>
    <xf numFmtId="3" fontId="16" fillId="0" borderId="0" xfId="1" applyNumberFormat="1" applyFont="1"/>
    <xf numFmtId="0" fontId="33" fillId="0" borderId="0" xfId="0" applyFont="1">
      <alignment vertical="center"/>
    </xf>
    <xf numFmtId="0" fontId="25" fillId="0" borderId="0" xfId="0" applyFont="1">
      <alignment vertical="center"/>
    </xf>
    <xf numFmtId="2" fontId="25" fillId="0" borderId="0" xfId="0" applyNumberFormat="1" applyFont="1">
      <alignment vertical="center"/>
    </xf>
    <xf numFmtId="0" fontId="25" fillId="0" borderId="0" xfId="0" applyFont="1" applyAlignment="1">
      <alignment horizontal="right" vertical="center"/>
    </xf>
    <xf numFmtId="2" fontId="25" fillId="0" borderId="0" xfId="0" applyNumberFormat="1" applyFont="1" applyAlignment="1">
      <alignment horizontal="right" vertical="center"/>
    </xf>
    <xf numFmtId="0" fontId="25" fillId="0" borderId="8" xfId="0" applyFont="1" applyBorder="1" applyAlignment="1">
      <alignment horizontal="right" vertical="center"/>
    </xf>
    <xf numFmtId="2" fontId="25" fillId="0" borderId="8" xfId="0" applyNumberFormat="1" applyFont="1" applyBorder="1" applyAlignment="1">
      <alignment horizontal="right" vertical="center"/>
    </xf>
    <xf numFmtId="0" fontId="25" fillId="0" borderId="3" xfId="0" applyFont="1" applyBorder="1" applyAlignment="1">
      <alignment horizontal="center" vertical="center"/>
    </xf>
    <xf numFmtId="2" fontId="25" fillId="0" borderId="3" xfId="0" applyNumberFormat="1" applyFont="1" applyBorder="1">
      <alignment vertical="center"/>
    </xf>
    <xf numFmtId="0" fontId="25" fillId="0" borderId="3" xfId="0" applyFont="1" applyBorder="1">
      <alignment vertical="center"/>
    </xf>
    <xf numFmtId="43" fontId="16" fillId="0" borderId="3" xfId="1" applyNumberFormat="1" applyFont="1" applyBorder="1" applyAlignment="1">
      <alignment horizontal="right" vertical="center"/>
    </xf>
    <xf numFmtId="41" fontId="25" fillId="0" borderId="1" xfId="1" applyNumberFormat="1" applyFont="1" applyBorder="1" applyAlignment="1">
      <alignment horizontal="right" vertical="center"/>
    </xf>
    <xf numFmtId="41" fontId="25" fillId="0" borderId="3" xfId="1" applyNumberFormat="1" applyFont="1" applyBorder="1" applyAlignment="1">
      <alignment horizontal="right" vertical="center"/>
    </xf>
    <xf numFmtId="0" fontId="25" fillId="0" borderId="0" xfId="1" applyFont="1" applyAlignment="1">
      <alignment vertical="center"/>
    </xf>
    <xf numFmtId="178" fontId="25" fillId="0" borderId="0" xfId="0" applyNumberFormat="1" applyFont="1">
      <alignment vertical="center"/>
    </xf>
    <xf numFmtId="178" fontId="25" fillId="0" borderId="3" xfId="0" applyNumberFormat="1" applyFont="1" applyBorder="1">
      <alignment vertical="center"/>
    </xf>
    <xf numFmtId="0" fontId="16" fillId="0" borderId="1" xfId="1" applyFont="1" applyBorder="1" applyAlignment="1">
      <alignment horizontal="center" vertical="center" wrapText="1"/>
    </xf>
    <xf numFmtId="0" fontId="16" fillId="0" borderId="0" xfId="1" applyFont="1" applyAlignment="1">
      <alignment vertical="center"/>
    </xf>
    <xf numFmtId="0" fontId="16" fillId="0" borderId="0" xfId="1" applyFont="1" applyAlignment="1">
      <alignment horizontal="right" vertical="center"/>
    </xf>
    <xf numFmtId="41" fontId="16" fillId="0" borderId="0" xfId="1" applyNumberFormat="1" applyFont="1" applyAlignment="1">
      <alignment horizontal="right" vertical="center" shrinkToFit="1"/>
    </xf>
    <xf numFmtId="0" fontId="16" fillId="0" borderId="3" xfId="1" applyFont="1" applyBorder="1" applyAlignment="1">
      <alignment horizontal="right" vertical="center"/>
    </xf>
    <xf numFmtId="41" fontId="16" fillId="0" borderId="3" xfId="1" applyNumberFormat="1" applyFont="1" applyBorder="1" applyAlignment="1">
      <alignment horizontal="right" vertical="center" shrinkToFit="1"/>
    </xf>
    <xf numFmtId="43" fontId="16" fillId="0" borderId="8" xfId="1" applyNumberFormat="1" applyFont="1" applyBorder="1" applyAlignment="1">
      <alignment horizontal="right" vertical="center"/>
    </xf>
    <xf numFmtId="0" fontId="16" fillId="0" borderId="0" xfId="1" applyFont="1" applyAlignment="1">
      <alignment horizontal="center"/>
    </xf>
    <xf numFmtId="38" fontId="16" fillId="0" borderId="1" xfId="1" applyNumberFormat="1" applyFont="1" applyBorder="1" applyAlignment="1">
      <alignment horizontal="right" vertical="center"/>
    </xf>
    <xf numFmtId="181" fontId="16" fillId="0" borderId="0" xfId="1" applyNumberFormat="1" applyFont="1" applyAlignment="1">
      <alignment horizontal="right" vertical="center"/>
    </xf>
    <xf numFmtId="38" fontId="16" fillId="0" borderId="0" xfId="1" applyNumberFormat="1" applyFont="1" applyAlignment="1">
      <alignment horizontal="right" vertical="center"/>
    </xf>
    <xf numFmtId="42" fontId="16" fillId="0" borderId="0" xfId="1" applyNumberFormat="1" applyFont="1" applyAlignment="1">
      <alignment horizontal="right" vertical="center"/>
    </xf>
    <xf numFmtId="38" fontId="16" fillId="0" borderId="8" xfId="1" applyNumberFormat="1" applyFont="1" applyBorder="1" applyAlignment="1">
      <alignment horizontal="right" vertical="center"/>
    </xf>
    <xf numFmtId="42" fontId="16" fillId="0" borderId="8" xfId="1" applyNumberFormat="1" applyFont="1" applyBorder="1" applyAlignment="1">
      <alignment horizontal="right" vertical="center"/>
    </xf>
    <xf numFmtId="38" fontId="16" fillId="0" borderId="3" xfId="1" applyNumberFormat="1" applyFont="1" applyBorder="1" applyAlignment="1">
      <alignment horizontal="right" vertical="center"/>
    </xf>
    <xf numFmtId="42" fontId="16" fillId="0" borderId="3" xfId="1" applyNumberFormat="1" applyFont="1" applyBorder="1" applyAlignment="1">
      <alignment horizontal="right" vertical="center"/>
    </xf>
    <xf numFmtId="0" fontId="18" fillId="0" borderId="0" xfId="1" applyFont="1" applyAlignment="1">
      <alignment vertical="center"/>
    </xf>
    <xf numFmtId="3" fontId="18" fillId="0" borderId="0" xfId="1" applyNumberFormat="1" applyFont="1" applyAlignment="1">
      <alignment vertical="center"/>
    </xf>
    <xf numFmtId="40" fontId="16" fillId="0" borderId="0" xfId="1" applyNumberFormat="1" applyFont="1" applyAlignment="1">
      <alignment horizontal="right" vertical="center"/>
    </xf>
    <xf numFmtId="180" fontId="16" fillId="0" borderId="0" xfId="1" applyNumberFormat="1" applyFont="1" applyAlignment="1">
      <alignment horizontal="right" vertical="center"/>
    </xf>
    <xf numFmtId="179" fontId="16" fillId="0" borderId="0" xfId="1" applyNumberFormat="1" applyFont="1" applyAlignment="1">
      <alignment horizontal="right" vertical="center"/>
    </xf>
    <xf numFmtId="180" fontId="16" fillId="0" borderId="1" xfId="1" applyNumberFormat="1" applyFont="1" applyBorder="1" applyAlignment="1">
      <alignment horizontal="right" vertical="center"/>
    </xf>
    <xf numFmtId="180" fontId="16" fillId="0" borderId="3" xfId="1" applyNumberFormat="1" applyFont="1" applyBorder="1" applyAlignment="1">
      <alignment horizontal="right" vertical="center"/>
    </xf>
    <xf numFmtId="179" fontId="16" fillId="0" borderId="3" xfId="1" applyNumberFormat="1" applyFont="1" applyBorder="1" applyAlignment="1">
      <alignment horizontal="right" vertical="center"/>
    </xf>
    <xf numFmtId="0" fontId="25" fillId="0" borderId="3" xfId="0" applyFont="1" applyBorder="1" applyAlignment="1">
      <alignment horizontal="right" vertical="center"/>
    </xf>
    <xf numFmtId="0" fontId="25" fillId="0" borderId="3" xfId="1" applyFont="1" applyBorder="1" applyAlignment="1">
      <alignment horizontal="right"/>
    </xf>
    <xf numFmtId="38" fontId="25" fillId="0" borderId="3" xfId="1" applyNumberFormat="1" applyFont="1" applyBorder="1" applyAlignment="1">
      <alignment horizontal="right" vertical="center" shrinkToFit="1"/>
    </xf>
    <xf numFmtId="177" fontId="25" fillId="0" borderId="3" xfId="1" applyNumberFormat="1" applyFont="1" applyBorder="1" applyAlignment="1">
      <alignment horizontal="right" vertical="center"/>
    </xf>
    <xf numFmtId="38" fontId="16" fillId="0" borderId="0" xfId="1" applyNumberFormat="1" applyFont="1" applyAlignment="1">
      <alignment vertical="center"/>
    </xf>
    <xf numFmtId="2" fontId="16" fillId="0" borderId="0" xfId="1" applyNumberFormat="1" applyFont="1" applyAlignment="1">
      <alignment vertical="center"/>
    </xf>
    <xf numFmtId="182" fontId="16" fillId="0" borderId="0" xfId="1" applyNumberFormat="1" applyFont="1" applyAlignment="1">
      <alignment vertical="center"/>
    </xf>
    <xf numFmtId="0" fontId="0" fillId="0" borderId="2" xfId="1" applyFont="1" applyBorder="1" applyAlignment="1">
      <alignment horizontal="center" vertical="center"/>
    </xf>
    <xf numFmtId="180" fontId="16" fillId="0" borderId="11" xfId="1" applyNumberFormat="1" applyFont="1" applyBorder="1" applyAlignment="1">
      <alignment horizontal="right" vertical="center"/>
    </xf>
    <xf numFmtId="179" fontId="16" fillId="0" borderId="11" xfId="1" applyNumberFormat="1" applyFont="1" applyBorder="1" applyAlignment="1">
      <alignment horizontal="right" vertical="center"/>
    </xf>
    <xf numFmtId="0" fontId="29" fillId="0" borderId="0" xfId="3" applyFont="1" applyAlignment="1">
      <alignment horizontal="distributed" vertical="center" wrapText="1"/>
    </xf>
    <xf numFmtId="0" fontId="16" fillId="0" borderId="0" xfId="1" applyFont="1" applyAlignment="1">
      <alignment horizontal="center" vertical="center" shrinkToFit="1"/>
    </xf>
    <xf numFmtId="0" fontId="16" fillId="0" borderId="3" xfId="1" applyFont="1" applyBorder="1" applyAlignment="1">
      <alignment vertical="center"/>
    </xf>
    <xf numFmtId="2" fontId="16" fillId="0" borderId="3" xfId="1" applyNumberFormat="1" applyFont="1" applyBorder="1" applyAlignment="1">
      <alignment vertical="center"/>
    </xf>
    <xf numFmtId="3" fontId="16" fillId="0" borderId="0" xfId="1" applyNumberFormat="1" applyFont="1" applyAlignment="1">
      <alignment vertical="center"/>
    </xf>
    <xf numFmtId="0" fontId="39" fillId="0" borderId="0" xfId="3" applyFont="1" applyAlignment="1">
      <alignment horizontal="distributed" vertical="center" wrapText="1"/>
    </xf>
    <xf numFmtId="43" fontId="16" fillId="0" borderId="0" xfId="1" applyNumberFormat="1" applyFont="1" applyAlignment="1">
      <alignment vertical="center"/>
    </xf>
    <xf numFmtId="43" fontId="16" fillId="0" borderId="1" xfId="1" applyNumberFormat="1" applyFont="1" applyBorder="1" applyAlignment="1">
      <alignment horizontal="right" vertical="center" shrinkToFit="1"/>
    </xf>
    <xf numFmtId="43" fontId="16" fillId="0" borderId="0" xfId="1" applyNumberFormat="1" applyFont="1" applyAlignment="1">
      <alignment horizontal="right" vertical="center" shrinkToFit="1"/>
    </xf>
    <xf numFmtId="43" fontId="16" fillId="0" borderId="3" xfId="1" applyNumberFormat="1" applyFont="1" applyBorder="1" applyAlignment="1">
      <alignment horizontal="right" vertical="center" shrinkToFit="1"/>
    </xf>
    <xf numFmtId="2" fontId="16" fillId="0" borderId="0" xfId="1" applyNumberFormat="1" applyFont="1" applyAlignment="1">
      <alignment horizontal="right" vertical="center"/>
    </xf>
    <xf numFmtId="41" fontId="16" fillId="0" borderId="0" xfId="1" applyNumberFormat="1" applyFont="1" applyAlignment="1">
      <alignment vertical="center"/>
    </xf>
    <xf numFmtId="0" fontId="0" fillId="0" borderId="0" xfId="3" applyFont="1" applyAlignment="1">
      <alignment horizontal="distributed" vertical="center" wrapText="1"/>
    </xf>
    <xf numFmtId="0" fontId="40" fillId="0" borderId="0" xfId="1" applyFont="1" applyAlignment="1">
      <alignment vertical="center"/>
    </xf>
    <xf numFmtId="0" fontId="26" fillId="0" borderId="2" xfId="1" applyFont="1" applyBorder="1" applyAlignment="1">
      <alignment horizontal="center" vertical="center"/>
    </xf>
    <xf numFmtId="0" fontId="26" fillId="0" borderId="3" xfId="1" applyFont="1" applyBorder="1" applyAlignment="1">
      <alignment horizontal="center" vertical="center"/>
    </xf>
    <xf numFmtId="0" fontId="26" fillId="0" borderId="6" xfId="1" applyFont="1" applyBorder="1" applyAlignment="1">
      <alignment horizontal="center" vertical="center"/>
    </xf>
    <xf numFmtId="43" fontId="25" fillId="0" borderId="7" xfId="1" applyNumberFormat="1" applyFont="1" applyBorder="1" applyAlignment="1">
      <alignment horizontal="right" vertical="center"/>
    </xf>
    <xf numFmtId="41" fontId="25" fillId="0" borderId="0" xfId="2" applyNumberFormat="1" applyFont="1" applyFill="1" applyBorder="1" applyAlignment="1">
      <alignment horizontal="right" vertical="center"/>
    </xf>
    <xf numFmtId="41" fontId="25" fillId="0" borderId="16" xfId="1" applyNumberFormat="1" applyFont="1" applyBorder="1" applyAlignment="1">
      <alignment vertical="center"/>
    </xf>
    <xf numFmtId="41" fontId="25" fillId="0" borderId="0" xfId="2" applyNumberFormat="1" applyFont="1" applyFill="1" applyBorder="1" applyAlignment="1">
      <alignment vertical="center"/>
    </xf>
    <xf numFmtId="41" fontId="25" fillId="0" borderId="0" xfId="1" applyNumberFormat="1" applyFont="1" applyAlignment="1">
      <alignment vertical="center"/>
    </xf>
    <xf numFmtId="40" fontId="16" fillId="0" borderId="1" xfId="1" applyNumberFormat="1" applyFont="1" applyBorder="1" applyAlignment="1">
      <alignment horizontal="right" vertical="center" shrinkToFit="1"/>
    </xf>
    <xf numFmtId="40" fontId="16" fillId="0" borderId="0" xfId="1" applyNumberFormat="1" applyFont="1" applyAlignment="1">
      <alignment horizontal="right" vertical="center" shrinkToFit="1"/>
    </xf>
    <xf numFmtId="40" fontId="16" fillId="0" borderId="3" xfId="1" applyNumberFormat="1" applyFont="1" applyBorder="1" applyAlignment="1">
      <alignment horizontal="right" vertical="center" shrinkToFit="1"/>
    </xf>
    <xf numFmtId="40" fontId="16" fillId="0" borderId="8" xfId="1" applyNumberFormat="1" applyFont="1" applyBorder="1" applyAlignment="1">
      <alignment horizontal="right" vertical="center" shrinkToFit="1"/>
    </xf>
    <xf numFmtId="0" fontId="18" fillId="0" borderId="0" xfId="1" applyFont="1"/>
    <xf numFmtId="43" fontId="25" fillId="0" borderId="1" xfId="1" applyNumberFormat="1" applyFont="1" applyBorder="1" applyAlignment="1">
      <alignment horizontal="right" vertical="center"/>
    </xf>
    <xf numFmtId="0" fontId="25" fillId="0" borderId="0" xfId="1" applyFont="1" applyAlignment="1">
      <alignment horizontal="right" vertical="center"/>
    </xf>
    <xf numFmtId="0" fontId="25" fillId="0" borderId="3" xfId="1" applyFont="1" applyBorder="1" applyAlignment="1">
      <alignment horizontal="right" vertical="center"/>
    </xf>
    <xf numFmtId="43" fontId="25" fillId="0" borderId="3" xfId="1" applyNumberFormat="1" applyFont="1" applyBorder="1" applyAlignment="1">
      <alignment horizontal="right" vertical="center"/>
    </xf>
    <xf numFmtId="0" fontId="25" fillId="0" borderId="0" xfId="3" applyFont="1" applyAlignment="1">
      <alignment horizontal="distributed" vertical="center" wrapText="1"/>
    </xf>
    <xf numFmtId="41" fontId="25" fillId="0" borderId="0" xfId="1" applyNumberFormat="1" applyFont="1" applyAlignment="1">
      <alignment horizontal="right" vertical="center" shrinkToFit="1"/>
    </xf>
    <xf numFmtId="41" fontId="25" fillId="0" borderId="0" xfId="0" applyNumberFormat="1" applyFont="1">
      <alignment vertical="center"/>
    </xf>
    <xf numFmtId="178" fontId="16" fillId="0" borderId="0" xfId="1" applyNumberFormat="1" applyFont="1" applyAlignment="1">
      <alignment vertical="center"/>
    </xf>
    <xf numFmtId="41" fontId="25" fillId="0" borderId="0" xfId="0" applyNumberFormat="1" applyFont="1" applyAlignment="1">
      <alignment horizontal="right" vertical="center"/>
    </xf>
    <xf numFmtId="0" fontId="25" fillId="0" borderId="3" xfId="3" applyFont="1" applyBorder="1" applyAlignment="1">
      <alignment horizontal="distributed" vertical="center" wrapText="1"/>
    </xf>
    <xf numFmtId="41" fontId="25" fillId="0" borderId="3" xfId="0" applyNumberFormat="1" applyFont="1" applyBorder="1">
      <alignment vertical="center"/>
    </xf>
    <xf numFmtId="178" fontId="16" fillId="0" borderId="3" xfId="1" applyNumberFormat="1" applyFont="1" applyBorder="1" applyAlignment="1">
      <alignment vertical="center"/>
    </xf>
    <xf numFmtId="2" fontId="27" fillId="0" borderId="0" xfId="1" applyNumberFormat="1" applyFont="1" applyAlignment="1">
      <alignment vertical="center"/>
    </xf>
    <xf numFmtId="0" fontId="0" fillId="0" borderId="0" xfId="0" applyAlignment="1">
      <alignment horizontal="center" vertical="center"/>
    </xf>
    <xf numFmtId="0" fontId="0" fillId="0" borderId="0" xfId="0" applyAlignment="1">
      <alignment horizontal="right" vertical="center"/>
    </xf>
    <xf numFmtId="41" fontId="16" fillId="0" borderId="0" xfId="1" applyNumberFormat="1" applyFont="1" applyAlignment="1">
      <alignment horizontal="left" vertical="center"/>
    </xf>
    <xf numFmtId="43" fontId="16" fillId="0" borderId="0" xfId="1" applyNumberFormat="1" applyFont="1" applyAlignment="1">
      <alignment horizontal="left" vertical="center"/>
    </xf>
    <xf numFmtId="41" fontId="16" fillId="0" borderId="8" xfId="1" applyNumberFormat="1" applyFont="1" applyBorder="1" applyAlignment="1">
      <alignment horizontal="left" vertical="center"/>
    </xf>
    <xf numFmtId="43" fontId="16" fillId="0" borderId="8" xfId="1" applyNumberFormat="1" applyFont="1" applyBorder="1" applyAlignment="1">
      <alignment horizontal="left" vertical="center"/>
    </xf>
    <xf numFmtId="43" fontId="16" fillId="0" borderId="0" xfId="1" applyNumberFormat="1" applyFont="1" applyAlignment="1">
      <alignment horizontal="right"/>
    </xf>
    <xf numFmtId="0" fontId="1" fillId="0" borderId="0" xfId="3" applyFont="1" applyAlignment="1">
      <alignment horizontal="distributed" vertical="center" wrapText="1"/>
    </xf>
    <xf numFmtId="0" fontId="16" fillId="0" borderId="1" xfId="1" applyFont="1" applyBorder="1" applyAlignment="1">
      <alignment horizontal="center"/>
    </xf>
    <xf numFmtId="0" fontId="16" fillId="0" borderId="9" xfId="1" applyFont="1" applyBorder="1" applyAlignment="1">
      <alignment horizontal="center" shrinkToFit="1"/>
    </xf>
    <xf numFmtId="0" fontId="16" fillId="0" borderId="0" xfId="1" applyFont="1" applyAlignment="1">
      <alignment horizontal="center" shrinkToFit="1"/>
    </xf>
    <xf numFmtId="38" fontId="16" fillId="0" borderId="0" xfId="1" applyNumberFormat="1" applyFont="1"/>
    <xf numFmtId="40" fontId="25" fillId="0" borderId="0" xfId="0" applyNumberFormat="1" applyFont="1">
      <alignment vertical="center"/>
    </xf>
    <xf numFmtId="38" fontId="16" fillId="0" borderId="1" xfId="1" applyNumberFormat="1" applyFont="1" applyBorder="1" applyAlignment="1">
      <alignment horizontal="right" vertical="center" shrinkToFit="1"/>
    </xf>
    <xf numFmtId="177" fontId="16" fillId="0" borderId="1" xfId="1" applyNumberFormat="1" applyFont="1" applyBorder="1" applyAlignment="1">
      <alignment horizontal="right" vertical="center"/>
    </xf>
    <xf numFmtId="0" fontId="7" fillId="0" borderId="2" xfId="1" applyFont="1" applyBorder="1" applyAlignment="1">
      <alignment horizontal="center" vertical="center"/>
    </xf>
    <xf numFmtId="0" fontId="7" fillId="0" borderId="2" xfId="1" applyFont="1" applyBorder="1" applyAlignment="1">
      <alignment horizontal="center" vertical="center" wrapText="1"/>
    </xf>
    <xf numFmtId="0" fontId="7" fillId="0" borderId="3" xfId="1" applyFont="1" applyBorder="1" applyAlignment="1">
      <alignment vertical="center" shrinkToFit="1"/>
    </xf>
    <xf numFmtId="41" fontId="8" fillId="0" borderId="3" xfId="1" applyNumberFormat="1" applyFont="1" applyBorder="1" applyAlignment="1">
      <alignment horizontal="right" vertical="center"/>
    </xf>
    <xf numFmtId="41" fontId="8" fillId="0" borderId="3" xfId="1" applyNumberFormat="1" applyFont="1" applyBorder="1" applyAlignment="1">
      <alignment horizontal="right"/>
    </xf>
    <xf numFmtId="41" fontId="8" fillId="0" borderId="0" xfId="1" applyNumberFormat="1" applyFont="1" applyAlignment="1">
      <alignment horizontal="right" vertical="center"/>
    </xf>
    <xf numFmtId="41" fontId="8" fillId="0" borderId="0" xfId="1" applyNumberFormat="1" applyFont="1" applyAlignment="1">
      <alignment horizontal="right"/>
    </xf>
    <xf numFmtId="0" fontId="7" fillId="0" borderId="0" xfId="1" applyFont="1" applyAlignment="1">
      <alignment vertical="center" shrinkToFit="1"/>
    </xf>
    <xf numFmtId="41" fontId="8" fillId="0" borderId="1" xfId="1" applyNumberFormat="1" applyFont="1" applyBorder="1" applyAlignment="1">
      <alignment horizontal="right" vertical="center"/>
    </xf>
    <xf numFmtId="0" fontId="25" fillId="0" borderId="0" xfId="0" applyFont="1" applyAlignment="1">
      <alignment horizontal="distributed" vertical="center"/>
    </xf>
    <xf numFmtId="0" fontId="25" fillId="0" borderId="8" xfId="0" applyFont="1" applyBorder="1" applyAlignment="1">
      <alignment horizontal="distributed" vertical="center"/>
    </xf>
    <xf numFmtId="0" fontId="25" fillId="0" borderId="3" xfId="0" applyFont="1" applyBorder="1" applyAlignment="1">
      <alignment horizontal="distributed" vertical="center"/>
    </xf>
    <xf numFmtId="0" fontId="25" fillId="0" borderId="3" xfId="1" applyFont="1" applyBorder="1" applyAlignment="1">
      <alignment horizontal="center" vertical="center"/>
    </xf>
    <xf numFmtId="0" fontId="18" fillId="0" borderId="0" xfId="4" applyFont="1"/>
    <xf numFmtId="38" fontId="18" fillId="0" borderId="0" xfId="4" applyNumberFormat="1" applyFont="1"/>
    <xf numFmtId="2" fontId="18" fillId="0" borderId="0" xfId="4" applyNumberFormat="1" applyFont="1" applyAlignment="1">
      <alignment horizontal="center" vertical="center"/>
    </xf>
    <xf numFmtId="0" fontId="19" fillId="0" borderId="0" xfId="4" applyFont="1"/>
    <xf numFmtId="40" fontId="16" fillId="0" borderId="3" xfId="4" applyNumberFormat="1" applyBorder="1" applyAlignment="1">
      <alignment horizontal="right" vertical="center"/>
    </xf>
    <xf numFmtId="0" fontId="16" fillId="0" borderId="3" xfId="4" applyBorder="1" applyAlignment="1">
      <alignment horizontal="center" vertical="center"/>
    </xf>
    <xf numFmtId="38" fontId="16" fillId="0" borderId="0" xfId="4" applyNumberFormat="1" applyAlignment="1">
      <alignment horizontal="right" vertical="center"/>
    </xf>
    <xf numFmtId="0" fontId="16" fillId="0" borderId="0" xfId="4" applyAlignment="1">
      <alignment horizontal="center" vertical="center" wrapText="1"/>
    </xf>
    <xf numFmtId="40" fontId="16" fillId="0" borderId="0" xfId="4" applyNumberFormat="1" applyAlignment="1">
      <alignment horizontal="right" vertical="center"/>
    </xf>
    <xf numFmtId="0" fontId="16" fillId="0" borderId="0" xfId="4" applyAlignment="1">
      <alignment horizontal="center" vertical="center"/>
    </xf>
    <xf numFmtId="40" fontId="25" fillId="0" borderId="0" xfId="4" applyNumberFormat="1" applyFont="1" applyAlignment="1">
      <alignment horizontal="right" vertical="center"/>
    </xf>
    <xf numFmtId="38" fontId="16" fillId="0" borderId="1" xfId="4" applyNumberFormat="1" applyBorder="1" applyAlignment="1">
      <alignment horizontal="right" vertical="center"/>
    </xf>
    <xf numFmtId="0" fontId="16" fillId="0" borderId="2" xfId="4" applyBorder="1" applyAlignment="1">
      <alignment horizontal="center" vertical="center"/>
    </xf>
    <xf numFmtId="0" fontId="16" fillId="0" borderId="1" xfId="4" applyBorder="1"/>
    <xf numFmtId="0" fontId="16" fillId="0" borderId="0" xfId="4"/>
    <xf numFmtId="43" fontId="16" fillId="0" borderId="3" xfId="4" applyNumberFormat="1" applyBorder="1" applyAlignment="1">
      <alignment horizontal="right" vertical="center"/>
    </xf>
    <xf numFmtId="43" fontId="16" fillId="0" borderId="3" xfId="4" applyNumberFormat="1" applyBorder="1" applyAlignment="1">
      <alignment horizontal="center" vertical="center"/>
    </xf>
    <xf numFmtId="41" fontId="16" fillId="0" borderId="0" xfId="4" applyNumberFormat="1" applyAlignment="1">
      <alignment horizontal="right" vertical="center"/>
    </xf>
    <xf numFmtId="41" fontId="16" fillId="0" borderId="0" xfId="4" applyNumberFormat="1" applyAlignment="1">
      <alignment horizontal="center" vertical="center"/>
    </xf>
    <xf numFmtId="43" fontId="16" fillId="0" borderId="0" xfId="4" applyNumberFormat="1" applyAlignment="1">
      <alignment horizontal="right" vertical="center"/>
    </xf>
    <xf numFmtId="43" fontId="16" fillId="0" borderId="0" xfId="4" applyNumberFormat="1" applyAlignment="1">
      <alignment horizontal="center" vertical="center"/>
    </xf>
    <xf numFmtId="41" fontId="16" fillId="0" borderId="1" xfId="4" applyNumberFormat="1" applyBorder="1" applyAlignment="1">
      <alignment horizontal="right" vertical="center"/>
    </xf>
    <xf numFmtId="0" fontId="18" fillId="0" borderId="0" xfId="4" applyFont="1" applyAlignment="1">
      <alignment horizontal="center" vertical="center"/>
    </xf>
    <xf numFmtId="38" fontId="16" fillId="0" borderId="0" xfId="4" applyNumberFormat="1"/>
    <xf numFmtId="41" fontId="16" fillId="0" borderId="0" xfId="4" applyNumberFormat="1" applyAlignment="1">
      <alignment horizontal="center" vertical="center" wrapText="1"/>
    </xf>
    <xf numFmtId="41" fontId="16" fillId="0" borderId="3" xfId="4" applyNumberFormat="1" applyBorder="1" applyAlignment="1">
      <alignment horizontal="right" vertical="center"/>
    </xf>
    <xf numFmtId="186" fontId="18" fillId="0" borderId="0" xfId="4" applyNumberFormat="1" applyFont="1" applyAlignment="1">
      <alignment horizontal="right"/>
    </xf>
    <xf numFmtId="176" fontId="18" fillId="0" borderId="0" xfId="5" applyFont="1" applyBorder="1"/>
    <xf numFmtId="0" fontId="16" fillId="0" borderId="0" xfId="6" applyFont="1">
      <alignment vertical="center"/>
    </xf>
    <xf numFmtId="0" fontId="16" fillId="0" borderId="0" xfId="4" applyAlignment="1">
      <alignment horizontal="center"/>
    </xf>
    <xf numFmtId="188" fontId="16" fillId="0" borderId="0" xfId="4" applyNumberFormat="1"/>
    <xf numFmtId="2" fontId="16" fillId="0" borderId="0" xfId="4" applyNumberFormat="1" applyAlignment="1">
      <alignment horizontal="center" vertical="center"/>
    </xf>
    <xf numFmtId="0" fontId="16" fillId="0" borderId="2" xfId="8" quotePrefix="1" applyFont="1" applyBorder="1" applyAlignment="1">
      <alignment horizontal="center" vertical="center"/>
    </xf>
    <xf numFmtId="0" fontId="50" fillId="0" borderId="0" xfId="1" applyFont="1" applyAlignment="1">
      <alignment horizontal="center" vertical="center"/>
    </xf>
    <xf numFmtId="0" fontId="28" fillId="0" borderId="2" xfId="1" applyFont="1" applyBorder="1" applyAlignment="1">
      <alignment horizontal="center" vertical="center"/>
    </xf>
    <xf numFmtId="0" fontId="27" fillId="0" borderId="2" xfId="1" applyFont="1" applyBorder="1" applyAlignment="1">
      <alignment horizontal="center" vertical="center"/>
    </xf>
    <xf numFmtId="0" fontId="51" fillId="0" borderId="0" xfId="1" applyFont="1" applyAlignment="1">
      <alignment vertical="center"/>
    </xf>
    <xf numFmtId="0" fontId="28" fillId="0" borderId="1" xfId="1" applyFont="1" applyBorder="1" applyAlignment="1">
      <alignment vertical="center"/>
    </xf>
    <xf numFmtId="0" fontId="27" fillId="0" borderId="1" xfId="1" applyFont="1" applyBorder="1" applyAlignment="1">
      <alignment vertical="center"/>
    </xf>
    <xf numFmtId="0" fontId="27" fillId="0" borderId="0" xfId="1" applyFont="1" applyAlignment="1">
      <alignment vertical="center"/>
    </xf>
    <xf numFmtId="0" fontId="1" fillId="0" borderId="0" xfId="1" applyAlignment="1">
      <alignment vertical="center"/>
    </xf>
    <xf numFmtId="41" fontId="18" fillId="0" borderId="2" xfId="1" applyNumberFormat="1" applyFont="1" applyBorder="1" applyAlignment="1">
      <alignment horizontal="center" vertical="center"/>
    </xf>
    <xf numFmtId="43" fontId="18" fillId="0" borderId="2" xfId="1" applyNumberFormat="1" applyFont="1" applyBorder="1" applyAlignment="1">
      <alignment horizontal="center" vertical="center"/>
    </xf>
    <xf numFmtId="0" fontId="16" fillId="0" borderId="0" xfId="1" applyFont="1" applyAlignment="1">
      <alignment horizontal="distributed" vertical="center"/>
    </xf>
    <xf numFmtId="0" fontId="16" fillId="0" borderId="3" xfId="1" applyFont="1" applyBorder="1" applyAlignment="1">
      <alignment horizontal="distributed" vertical="center"/>
    </xf>
    <xf numFmtId="43" fontId="16" fillId="0" borderId="0" xfId="1" applyNumberFormat="1" applyFont="1"/>
    <xf numFmtId="0" fontId="18" fillId="0" borderId="0" xfId="1" applyFont="1" applyAlignment="1">
      <alignment horizontal="right" vertical="center"/>
    </xf>
    <xf numFmtId="181" fontId="16" fillId="0" borderId="0" xfId="1" applyNumberFormat="1" applyFont="1" applyAlignment="1">
      <alignment vertical="center"/>
    </xf>
    <xf numFmtId="181" fontId="16" fillId="0" borderId="3" xfId="1" applyNumberFormat="1" applyFont="1" applyBorder="1" applyAlignment="1">
      <alignment vertical="center"/>
    </xf>
    <xf numFmtId="41" fontId="16" fillId="0" borderId="3" xfId="1" applyNumberFormat="1" applyFont="1" applyBorder="1" applyAlignment="1">
      <alignment vertical="center"/>
    </xf>
    <xf numFmtId="0" fontId="25" fillId="0" borderId="2" xfId="0" applyFont="1" applyBorder="1" applyAlignment="1">
      <alignment horizontal="center" vertical="center"/>
    </xf>
    <xf numFmtId="41" fontId="16" fillId="0" borderId="1" xfId="1" applyNumberFormat="1" applyFont="1" applyBorder="1" applyAlignment="1">
      <alignment horizontal="left" vertical="center"/>
    </xf>
    <xf numFmtId="43" fontId="16" fillId="0" borderId="1" xfId="1" applyNumberFormat="1" applyFont="1" applyBorder="1" applyAlignment="1">
      <alignment horizontal="left" vertical="center"/>
    </xf>
    <xf numFmtId="0" fontId="32" fillId="0" borderId="0" xfId="3" applyFont="1" applyAlignment="1">
      <alignment horizontal="distributed" vertical="center" wrapText="1"/>
    </xf>
    <xf numFmtId="41" fontId="16" fillId="0" borderId="0" xfId="1" applyNumberFormat="1" applyFont="1" applyAlignment="1">
      <alignment horizontal="center" vertical="center"/>
    </xf>
    <xf numFmtId="0" fontId="25" fillId="0" borderId="1" xfId="0" applyFont="1" applyBorder="1">
      <alignment vertical="center"/>
    </xf>
    <xf numFmtId="0" fontId="25" fillId="0" borderId="8" xfId="0" applyFont="1" applyBorder="1">
      <alignment vertical="center"/>
    </xf>
    <xf numFmtId="2" fontId="25" fillId="0" borderId="8" xfId="0" applyNumberFormat="1" applyFont="1" applyBorder="1">
      <alignment vertical="center"/>
    </xf>
    <xf numFmtId="0" fontId="27" fillId="0" borderId="0" xfId="0" applyFont="1">
      <alignment vertical="center"/>
    </xf>
    <xf numFmtId="0" fontId="27" fillId="0" borderId="0" xfId="0" applyFont="1" applyAlignment="1">
      <alignment vertical="top"/>
    </xf>
    <xf numFmtId="2" fontId="25" fillId="0" borderId="3" xfId="0" applyNumberFormat="1" applyFont="1" applyBorder="1" applyAlignment="1">
      <alignment horizontal="right" vertical="center"/>
    </xf>
    <xf numFmtId="43" fontId="25" fillId="0" borderId="2" xfId="1" applyNumberFormat="1" applyFont="1" applyBorder="1" applyAlignment="1">
      <alignment horizontal="center" vertical="center"/>
    </xf>
    <xf numFmtId="0" fontId="25" fillId="0" borderId="2" xfId="1" applyFont="1" applyBorder="1" applyAlignment="1">
      <alignment horizontal="right" vertical="center"/>
    </xf>
    <xf numFmtId="183" fontId="25" fillId="0" borderId="0" xfId="1" applyNumberFormat="1" applyFont="1" applyAlignment="1">
      <alignment horizontal="right" vertical="center"/>
    </xf>
    <xf numFmtId="41" fontId="25" fillId="0" borderId="0" xfId="1" applyNumberFormat="1" applyFont="1" applyAlignment="1">
      <alignment horizontal="center" vertical="center"/>
    </xf>
    <xf numFmtId="0" fontId="53" fillId="0" borderId="0" xfId="3" applyFont="1" applyAlignment="1">
      <alignment horizontal="distributed" vertical="center" wrapText="1"/>
    </xf>
    <xf numFmtId="41" fontId="25" fillId="0" borderId="3" xfId="1" applyNumberFormat="1" applyFont="1" applyBorder="1" applyAlignment="1">
      <alignment horizontal="center" vertical="center"/>
    </xf>
    <xf numFmtId="43" fontId="25" fillId="0" borderId="0" xfId="1" applyNumberFormat="1" applyFont="1" applyAlignment="1">
      <alignment vertical="center"/>
    </xf>
    <xf numFmtId="181" fontId="0" fillId="0" borderId="0" xfId="0" applyNumberFormat="1">
      <alignment vertical="center"/>
    </xf>
    <xf numFmtId="180" fontId="16" fillId="0" borderId="8" xfId="1" applyNumberFormat="1" applyFont="1" applyBorder="1" applyAlignment="1">
      <alignment horizontal="right" vertical="center"/>
    </xf>
    <xf numFmtId="179" fontId="16" fillId="0" borderId="8" xfId="1" applyNumberFormat="1" applyFont="1" applyBorder="1" applyAlignment="1">
      <alignment horizontal="right" vertical="center"/>
    </xf>
    <xf numFmtId="180" fontId="16" fillId="0" borderId="0" xfId="1" applyNumberFormat="1" applyFont="1"/>
    <xf numFmtId="0" fontId="29" fillId="0" borderId="2" xfId="1" applyFont="1" applyBorder="1" applyAlignment="1">
      <alignment horizontal="center" vertical="center"/>
    </xf>
    <xf numFmtId="41" fontId="25" fillId="0" borderId="0" xfId="4" applyNumberFormat="1" applyFont="1" applyAlignment="1">
      <alignment horizontal="center" vertical="center"/>
    </xf>
    <xf numFmtId="185" fontId="18" fillId="0" borderId="0" xfId="4" applyNumberFormat="1" applyFont="1"/>
    <xf numFmtId="180" fontId="18" fillId="0" borderId="0" xfId="4" applyNumberFormat="1" applyFont="1"/>
    <xf numFmtId="186" fontId="18" fillId="0" borderId="0" xfId="4" applyNumberFormat="1" applyFont="1"/>
    <xf numFmtId="185" fontId="16" fillId="0" borderId="0" xfId="4" applyNumberFormat="1"/>
    <xf numFmtId="184" fontId="18" fillId="0" borderId="0" xfId="4" applyNumberFormat="1" applyFont="1"/>
    <xf numFmtId="181" fontId="16" fillId="0" borderId="0" xfId="4" applyNumberFormat="1"/>
    <xf numFmtId="0" fontId="16" fillId="0" borderId="0" xfId="4" applyAlignment="1">
      <alignment horizontal="distributed" vertical="distributed"/>
    </xf>
    <xf numFmtId="0" fontId="16" fillId="0" borderId="3" xfId="4" applyBorder="1" applyAlignment="1">
      <alignment horizontal="distributed" vertical="center"/>
    </xf>
    <xf numFmtId="184" fontId="0" fillId="0" borderId="0" xfId="0" applyNumberFormat="1">
      <alignment vertical="center"/>
    </xf>
    <xf numFmtId="41" fontId="16" fillId="0" borderId="0" xfId="9" applyNumberFormat="1" applyAlignment="1">
      <alignment horizontal="right" vertical="center"/>
    </xf>
    <xf numFmtId="0" fontId="25" fillId="0" borderId="0" xfId="10" applyFont="1">
      <alignment vertical="center"/>
    </xf>
    <xf numFmtId="0" fontId="58" fillId="2" borderId="0" xfId="11" applyFont="1" applyFill="1" applyAlignment="1">
      <alignment horizontal="center" vertical="center"/>
    </xf>
    <xf numFmtId="0" fontId="25" fillId="0" borderId="0" xfId="10" applyFont="1" applyAlignment="1">
      <alignment horizontal="left" vertical="center"/>
    </xf>
    <xf numFmtId="0" fontId="50" fillId="0" borderId="0" xfId="10" applyFont="1">
      <alignment vertical="center"/>
    </xf>
    <xf numFmtId="0" fontId="63" fillId="0" borderId="0" xfId="11" quotePrefix="1" applyFont="1" applyAlignment="1">
      <alignment vertical="center"/>
    </xf>
    <xf numFmtId="0" fontId="61" fillId="3" borderId="0" xfId="11" applyFont="1" applyFill="1" applyAlignment="1">
      <alignment vertical="center"/>
    </xf>
    <xf numFmtId="0" fontId="63" fillId="0" borderId="0" xfId="11" applyFont="1" applyAlignment="1">
      <alignment vertical="center"/>
    </xf>
    <xf numFmtId="0" fontId="63" fillId="0" borderId="0" xfId="11" applyFont="1" applyAlignment="1">
      <alignment horizontal="left" vertical="center"/>
    </xf>
    <xf numFmtId="0" fontId="36" fillId="0" borderId="2" xfId="1" applyFont="1" applyBorder="1" applyAlignment="1">
      <alignment horizontal="center" vertical="center"/>
    </xf>
    <xf numFmtId="0" fontId="26" fillId="0" borderId="0" xfId="3" applyFont="1" applyAlignment="1">
      <alignment horizontal="distributed" vertical="center" wrapText="1"/>
    </xf>
    <xf numFmtId="179" fontId="25" fillId="0" borderId="0" xfId="1" applyNumberFormat="1" applyFont="1" applyAlignment="1">
      <alignment horizontal="right" vertical="center"/>
    </xf>
    <xf numFmtId="0" fontId="26" fillId="0" borderId="3" xfId="3" applyFont="1" applyBorder="1" applyAlignment="1">
      <alignment horizontal="distributed" vertical="center" wrapText="1"/>
    </xf>
    <xf numFmtId="179" fontId="25" fillId="0" borderId="3" xfId="1" applyNumberFormat="1" applyFont="1" applyBorder="1" applyAlignment="1">
      <alignment horizontal="right" vertical="center"/>
    </xf>
    <xf numFmtId="180" fontId="25" fillId="0" borderId="0" xfId="1" applyNumberFormat="1" applyFont="1" applyAlignment="1">
      <alignment vertical="center"/>
    </xf>
    <xf numFmtId="0" fontId="25" fillId="0" borderId="1" xfId="0" applyFont="1" applyBorder="1" applyAlignment="1">
      <alignment horizontal="center" vertical="center"/>
    </xf>
    <xf numFmtId="0" fontId="25" fillId="0" borderId="0" xfId="0" applyFont="1" applyAlignment="1">
      <alignment horizontal="center" vertical="center" wrapText="1"/>
    </xf>
    <xf numFmtId="0" fontId="25" fillId="0" borderId="17" xfId="0" applyFont="1" applyBorder="1">
      <alignment vertical="center"/>
    </xf>
    <xf numFmtId="0" fontId="25" fillId="0" borderId="17" xfId="0" applyFont="1" applyBorder="1" applyAlignment="1">
      <alignment horizontal="center" vertical="center"/>
    </xf>
    <xf numFmtId="0" fontId="25" fillId="0" borderId="18" xfId="0" applyFont="1" applyBorder="1">
      <alignment vertical="center"/>
    </xf>
    <xf numFmtId="0" fontId="25" fillId="0" borderId="19" xfId="0" applyFont="1" applyBorder="1">
      <alignment vertical="center"/>
    </xf>
    <xf numFmtId="0" fontId="25" fillId="0" borderId="20" xfId="0" applyFont="1" applyBorder="1">
      <alignment vertical="center"/>
    </xf>
    <xf numFmtId="0" fontId="25" fillId="0" borderId="9" xfId="0" applyFont="1" applyBorder="1">
      <alignment vertical="center"/>
    </xf>
    <xf numFmtId="0" fontId="25" fillId="0" borderId="21" xfId="0" applyFont="1" applyBorder="1">
      <alignment vertical="center"/>
    </xf>
    <xf numFmtId="0" fontId="25" fillId="0" borderId="0" xfId="0" applyFont="1" applyAlignment="1">
      <alignment horizontal="center" vertical="center"/>
    </xf>
    <xf numFmtId="0" fontId="25" fillId="0" borderId="22" xfId="0" applyFont="1" applyBorder="1">
      <alignment vertical="center"/>
    </xf>
    <xf numFmtId="0" fontId="50" fillId="0" borderId="0" xfId="0" applyFont="1">
      <alignment vertical="center"/>
    </xf>
    <xf numFmtId="0" fontId="25" fillId="0" borderId="17" xfId="0" applyFont="1" applyBorder="1" applyAlignment="1">
      <alignment horizontal="center" vertical="center" wrapText="1"/>
    </xf>
    <xf numFmtId="0" fontId="50" fillId="0" borderId="3" xfId="0" applyFont="1" applyBorder="1">
      <alignment vertical="center"/>
    </xf>
    <xf numFmtId="0" fontId="25" fillId="0" borderId="24" xfId="0" applyFont="1" applyBorder="1" applyAlignment="1">
      <alignment vertical="center" wrapText="1"/>
    </xf>
    <xf numFmtId="0" fontId="25" fillId="0" borderId="25" xfId="0" applyFont="1" applyBorder="1" applyAlignment="1">
      <alignment vertical="center" wrapText="1"/>
    </xf>
    <xf numFmtId="0" fontId="25" fillId="0" borderId="9" xfId="0" applyFont="1" applyBorder="1" applyAlignment="1">
      <alignment vertical="center" wrapText="1"/>
    </xf>
    <xf numFmtId="0" fontId="25" fillId="0" borderId="0" xfId="0" applyFont="1" applyAlignment="1">
      <alignment vertical="center" wrapText="1"/>
    </xf>
    <xf numFmtId="0" fontId="25" fillId="0" borderId="26" xfId="0" applyFont="1" applyBorder="1">
      <alignment vertical="center"/>
    </xf>
    <xf numFmtId="0" fontId="25" fillId="0" borderId="24" xfId="0" applyFont="1" applyBorder="1">
      <alignment vertical="center"/>
    </xf>
    <xf numFmtId="0" fontId="25" fillId="0" borderId="23" xfId="0" applyFont="1" applyBorder="1">
      <alignment vertical="center"/>
    </xf>
    <xf numFmtId="0" fontId="25" fillId="0" borderId="7" xfId="0" applyFont="1" applyBorder="1">
      <alignment vertical="center"/>
    </xf>
    <xf numFmtId="0" fontId="25" fillId="0" borderId="27" xfId="0" applyFont="1" applyBorder="1">
      <alignment vertical="center"/>
    </xf>
    <xf numFmtId="0" fontId="25" fillId="0" borderId="28" xfId="0" applyFont="1" applyBorder="1">
      <alignment vertical="center"/>
    </xf>
    <xf numFmtId="0" fontId="25" fillId="0" borderId="29" xfId="0" applyFont="1" applyBorder="1">
      <alignment vertical="center"/>
    </xf>
    <xf numFmtId="0" fontId="25" fillId="0" borderId="30" xfId="0" applyFont="1" applyBorder="1">
      <alignment vertical="center"/>
    </xf>
    <xf numFmtId="0" fontId="61" fillId="0" borderId="0" xfId="11" quotePrefix="1" applyFont="1" applyAlignment="1">
      <alignment horizontal="left" vertical="center"/>
    </xf>
    <xf numFmtId="183" fontId="16" fillId="0" borderId="8" xfId="1" applyNumberFormat="1" applyFont="1" applyBorder="1" applyAlignment="1">
      <alignment horizontal="right" vertical="center"/>
    </xf>
    <xf numFmtId="178" fontId="16" fillId="0" borderId="0" xfId="1" applyNumberFormat="1" applyFont="1" applyAlignment="1">
      <alignment horizontal="right" vertical="center"/>
    </xf>
    <xf numFmtId="2" fontId="16" fillId="0" borderId="3" xfId="1" applyNumberFormat="1" applyFont="1" applyBorder="1" applyAlignment="1">
      <alignment horizontal="right" vertical="center"/>
    </xf>
    <xf numFmtId="43" fontId="16" fillId="0" borderId="3" xfId="1" applyNumberFormat="1" applyFont="1" applyBorder="1" applyAlignment="1">
      <alignment horizontal="left" vertical="center"/>
    </xf>
    <xf numFmtId="179" fontId="16" fillId="0" borderId="0" xfId="1" applyNumberFormat="1" applyFont="1" applyAlignment="1">
      <alignment horizontal="right" vertical="center" shrinkToFit="1"/>
    </xf>
    <xf numFmtId="179" fontId="16" fillId="0" borderId="3" xfId="1" applyNumberFormat="1" applyFont="1" applyBorder="1" applyAlignment="1">
      <alignment horizontal="right" vertical="center" shrinkToFit="1"/>
    </xf>
    <xf numFmtId="179" fontId="25" fillId="0" borderId="8" xfId="1" applyNumberFormat="1" applyFont="1" applyBorder="1" applyAlignment="1">
      <alignment horizontal="right" vertical="center"/>
    </xf>
    <xf numFmtId="0" fontId="18" fillId="0" borderId="0" xfId="1" applyFont="1" applyAlignment="1">
      <alignment horizontal="left" vertical="center"/>
    </xf>
    <xf numFmtId="0" fontId="18" fillId="0" borderId="1" xfId="1" applyFont="1" applyBorder="1" applyAlignment="1">
      <alignment vertical="center"/>
    </xf>
    <xf numFmtId="43" fontId="25" fillId="0" borderId="0" xfId="0" applyNumberFormat="1" applyFont="1" applyAlignment="1">
      <alignment horizontal="right" vertical="center"/>
    </xf>
    <xf numFmtId="0" fontId="25" fillId="0" borderId="0" xfId="1" applyFont="1" applyAlignment="1">
      <alignment horizontal="distributed" vertical="center"/>
    </xf>
    <xf numFmtId="41" fontId="25" fillId="0" borderId="3" xfId="0" applyNumberFormat="1" applyFont="1" applyBorder="1" applyAlignment="1">
      <alignment horizontal="right" vertical="center"/>
    </xf>
    <xf numFmtId="43" fontId="25" fillId="0" borderId="3" xfId="0" applyNumberFormat="1" applyFont="1" applyBorder="1" applyAlignment="1">
      <alignment horizontal="right" vertical="center"/>
    </xf>
    <xf numFmtId="0" fontId="76" fillId="2" borderId="0" xfId="11" applyFont="1" applyFill="1" applyAlignment="1">
      <alignment horizontal="center" vertical="center"/>
    </xf>
    <xf numFmtId="0" fontId="25" fillId="0" borderId="2" xfId="1" applyFont="1" applyBorder="1" applyAlignment="1">
      <alignment horizontal="center" vertical="distributed" textRotation="255" indent="1"/>
    </xf>
    <xf numFmtId="43" fontId="0" fillId="0" borderId="0" xfId="0" applyNumberFormat="1" applyAlignment="1">
      <alignment horizontal="left" vertical="center" indent="2"/>
    </xf>
    <xf numFmtId="189" fontId="16" fillId="0" borderId="1" xfId="1" applyNumberFormat="1" applyFont="1" applyBorder="1" applyAlignment="1">
      <alignment horizontal="right" vertical="center" shrinkToFit="1"/>
    </xf>
    <xf numFmtId="0" fontId="74" fillId="0" borderId="0" xfId="3" applyFont="1" applyAlignment="1">
      <alignment horizontal="distributed" vertical="center" wrapText="1"/>
    </xf>
    <xf numFmtId="0" fontId="53" fillId="0" borderId="3" xfId="3" applyFont="1" applyBorder="1" applyAlignment="1">
      <alignment horizontal="distributed" vertical="center" wrapText="1"/>
    </xf>
    <xf numFmtId="183" fontId="16" fillId="0" borderId="0" xfId="3" applyNumberFormat="1" applyFont="1" applyAlignment="1">
      <alignment horizontal="distributed" vertical="center" wrapText="1"/>
    </xf>
    <xf numFmtId="0" fontId="8" fillId="0" borderId="3" xfId="0" applyFont="1" applyBorder="1" applyAlignment="1">
      <alignment horizontal="center" vertical="center"/>
    </xf>
    <xf numFmtId="0" fontId="8" fillId="0" borderId="0" xfId="0" applyFont="1" applyAlignment="1">
      <alignment horizontal="right" vertical="center"/>
    </xf>
    <xf numFmtId="0" fontId="8" fillId="0" borderId="1" xfId="0" applyFont="1" applyBorder="1" applyAlignment="1">
      <alignment horizontal="center" vertical="center" wrapText="1"/>
    </xf>
    <xf numFmtId="0" fontId="9" fillId="0" borderId="3" xfId="0" applyFont="1" applyBorder="1" applyAlignment="1">
      <alignment horizontal="center" vertical="center" wrapText="1"/>
    </xf>
    <xf numFmtId="2" fontId="0" fillId="0" borderId="0" xfId="0" applyNumberFormat="1">
      <alignment vertical="center"/>
    </xf>
    <xf numFmtId="40" fontId="25" fillId="0" borderId="3" xfId="0" applyNumberFormat="1" applyFont="1" applyBorder="1">
      <alignment vertical="center"/>
    </xf>
    <xf numFmtId="0" fontId="18" fillId="0" borderId="0" xfId="1" applyFont="1" applyAlignment="1">
      <alignment vertical="top" wrapText="1"/>
    </xf>
    <xf numFmtId="2" fontId="25" fillId="0" borderId="1" xfId="0" applyNumberFormat="1" applyFont="1" applyBorder="1">
      <alignment vertical="center"/>
    </xf>
    <xf numFmtId="186" fontId="21" fillId="0" borderId="0" xfId="4" applyNumberFormat="1" applyFont="1" applyAlignment="1">
      <alignment horizontal="right" vertical="center" indent="1"/>
    </xf>
    <xf numFmtId="186" fontId="21" fillId="0" borderId="1" xfId="4" applyNumberFormat="1" applyFont="1" applyBorder="1" applyAlignment="1">
      <alignment horizontal="right" vertical="center" indent="1"/>
    </xf>
    <xf numFmtId="187" fontId="21" fillId="0" borderId="0" xfId="4" applyNumberFormat="1" applyFont="1" applyAlignment="1">
      <alignment horizontal="right" vertical="center" indent="1"/>
    </xf>
    <xf numFmtId="187" fontId="21" fillId="0" borderId="3" xfId="4" applyNumberFormat="1" applyFont="1" applyBorder="1" applyAlignment="1">
      <alignment horizontal="right" vertical="center" indent="1"/>
    </xf>
    <xf numFmtId="186" fontId="21" fillId="0" borderId="3" xfId="4" applyNumberFormat="1" applyFont="1" applyBorder="1" applyAlignment="1">
      <alignment horizontal="right" vertical="center" indent="1"/>
    </xf>
    <xf numFmtId="41" fontId="21" fillId="0" borderId="0" xfId="4" applyNumberFormat="1" applyFont="1" applyAlignment="1">
      <alignment horizontal="right" vertical="center"/>
    </xf>
    <xf numFmtId="41" fontId="21" fillId="0" borderId="1" xfId="4" applyNumberFormat="1" applyFont="1" applyBorder="1" applyAlignment="1">
      <alignment horizontal="right" vertical="center"/>
    </xf>
    <xf numFmtId="43" fontId="21" fillId="0" borderId="0" xfId="4" applyNumberFormat="1" applyFont="1" applyAlignment="1">
      <alignment horizontal="right" vertical="center"/>
    </xf>
    <xf numFmtId="41" fontId="21" fillId="0" borderId="3" xfId="4" applyNumberFormat="1" applyFont="1" applyBorder="1" applyAlignment="1">
      <alignment horizontal="right" vertical="center"/>
    </xf>
    <xf numFmtId="43" fontId="21" fillId="0" borderId="3" xfId="4" applyNumberFormat="1" applyFont="1" applyBorder="1" applyAlignment="1">
      <alignment horizontal="right" vertical="center"/>
    </xf>
    <xf numFmtId="41" fontId="21" fillId="0" borderId="0" xfId="4" applyNumberFormat="1" applyFont="1" applyAlignment="1">
      <alignment horizontal="center" vertical="center"/>
    </xf>
    <xf numFmtId="43" fontId="21" fillId="0" borderId="0" xfId="4" applyNumberFormat="1" applyFont="1" applyAlignment="1">
      <alignment horizontal="center" vertical="center"/>
    </xf>
    <xf numFmtId="43" fontId="21" fillId="0" borderId="3" xfId="4" applyNumberFormat="1" applyFont="1" applyBorder="1" applyAlignment="1">
      <alignment horizontal="center" vertical="center"/>
    </xf>
    <xf numFmtId="189" fontId="21" fillId="0" borderId="0" xfId="4" applyNumberFormat="1" applyFont="1" applyAlignment="1">
      <alignment horizontal="right" vertical="center"/>
    </xf>
    <xf numFmtId="41" fontId="16" fillId="0" borderId="3" xfId="4" applyNumberFormat="1" applyBorder="1" applyAlignment="1">
      <alignment horizontal="center" vertical="center"/>
    </xf>
    <xf numFmtId="0" fontId="39" fillId="0" borderId="0" xfId="4" applyFont="1" applyAlignment="1">
      <alignment horizontal="distributed" vertical="distributed"/>
    </xf>
    <xf numFmtId="41" fontId="21" fillId="0" borderId="1" xfId="7" applyNumberFormat="1" applyFont="1" applyBorder="1" applyAlignment="1">
      <alignment horizontal="right" vertical="center"/>
    </xf>
    <xf numFmtId="41" fontId="21" fillId="0" borderId="0" xfId="7" applyNumberFormat="1" applyFont="1" applyAlignment="1">
      <alignment horizontal="right" vertical="center"/>
    </xf>
    <xf numFmtId="43" fontId="0" fillId="0" borderId="0" xfId="0" applyNumberFormat="1">
      <alignment vertical="center"/>
    </xf>
    <xf numFmtId="41" fontId="21" fillId="0" borderId="0" xfId="4" applyNumberFormat="1" applyFont="1" applyAlignment="1">
      <alignment horizontal="center" vertical="center" wrapText="1"/>
    </xf>
    <xf numFmtId="41" fontId="21" fillId="0" borderId="0" xfId="0" applyNumberFormat="1" applyFont="1" applyAlignment="1">
      <alignment horizontal="right" vertical="center"/>
    </xf>
    <xf numFmtId="41" fontId="65" fillId="0" borderId="0" xfId="4" applyNumberFormat="1" applyFont="1" applyAlignment="1">
      <alignment horizontal="right" vertical="center"/>
    </xf>
    <xf numFmtId="0" fontId="50" fillId="3" borderId="0" xfId="10" applyFont="1" applyFill="1" applyAlignment="1">
      <alignment horizontal="center" vertical="center"/>
    </xf>
    <xf numFmtId="0" fontId="78" fillId="3" borderId="0" xfId="11" applyFont="1" applyFill="1" applyAlignment="1">
      <alignment horizontal="left" vertical="center"/>
    </xf>
    <xf numFmtId="0" fontId="58" fillId="3" borderId="0" xfId="11" applyFont="1" applyFill="1" applyAlignment="1">
      <alignment horizontal="center" vertical="center"/>
    </xf>
    <xf numFmtId="0" fontId="67" fillId="3" borderId="0" xfId="11" applyFont="1" applyFill="1" applyAlignment="1">
      <alignment horizontal="left" vertical="center"/>
    </xf>
    <xf numFmtId="0" fontId="25" fillId="0" borderId="0" xfId="0" applyFont="1" applyAlignment="1">
      <alignment horizontal="center" vertical="center" wrapText="1"/>
    </xf>
    <xf numFmtId="0" fontId="25" fillId="0" borderId="0" xfId="0" applyFont="1" applyBorder="1">
      <alignment vertical="center"/>
    </xf>
    <xf numFmtId="0" fontId="50" fillId="0" borderId="23" xfId="0" applyFont="1" applyBorder="1">
      <alignment vertical="center"/>
    </xf>
    <xf numFmtId="0" fontId="25" fillId="0" borderId="31" xfId="0" applyFont="1" applyBorder="1">
      <alignment vertical="center"/>
    </xf>
    <xf numFmtId="0" fontId="25" fillId="0" borderId="32" xfId="0" applyFont="1" applyBorder="1">
      <alignment vertical="center"/>
    </xf>
    <xf numFmtId="0" fontId="25" fillId="0" borderId="22" xfId="0" applyFont="1" applyBorder="1" applyAlignment="1">
      <alignment vertical="center" wrapText="1"/>
    </xf>
    <xf numFmtId="0" fontId="25" fillId="0" borderId="32" xfId="0" applyFont="1" applyBorder="1" applyAlignment="1">
      <alignment vertical="center"/>
    </xf>
    <xf numFmtId="0" fontId="25" fillId="0" borderId="22" xfId="0" applyFont="1" applyBorder="1" applyAlignment="1">
      <alignment vertical="center"/>
    </xf>
    <xf numFmtId="0" fontId="61" fillId="3" borderId="0" xfId="11" applyFont="1" applyFill="1" applyAlignment="1">
      <alignment vertical="center"/>
    </xf>
    <xf numFmtId="0" fontId="61" fillId="3" borderId="0" xfId="11" applyFont="1" applyFill="1" applyAlignment="1">
      <alignment horizontal="left" vertical="center"/>
    </xf>
    <xf numFmtId="0" fontId="78" fillId="3" borderId="0" xfId="11" applyFont="1" applyFill="1" applyAlignment="1">
      <alignment horizontal="left" vertical="center"/>
    </xf>
    <xf numFmtId="0" fontId="56" fillId="3" borderId="0" xfId="10" applyFont="1" applyFill="1" applyAlignment="1">
      <alignment horizontal="center" vertical="center"/>
    </xf>
    <xf numFmtId="0" fontId="50" fillId="3" borderId="0" xfId="10" applyFont="1" applyFill="1" applyAlignment="1">
      <alignment horizontal="center" vertical="center"/>
    </xf>
    <xf numFmtId="0" fontId="80" fillId="3" borderId="0" xfId="11" applyFont="1" applyFill="1" applyAlignment="1">
      <alignment vertical="center"/>
    </xf>
    <xf numFmtId="0" fontId="25" fillId="0" borderId="13" xfId="0" applyFont="1" applyBorder="1" applyAlignment="1">
      <alignment horizontal="center" vertical="center"/>
    </xf>
    <xf numFmtId="0" fontId="25" fillId="0" borderId="1" xfId="0" applyFont="1" applyBorder="1" applyAlignment="1">
      <alignment horizontal="center" vertical="center"/>
    </xf>
    <xf numFmtId="0" fontId="25" fillId="0" borderId="5" xfId="0" applyFont="1" applyBorder="1" applyAlignment="1">
      <alignment horizontal="center" vertical="center"/>
    </xf>
    <xf numFmtId="0" fontId="25" fillId="0" borderId="4" xfId="0" applyFont="1" applyBorder="1" applyAlignment="1">
      <alignment horizontal="center" vertical="center"/>
    </xf>
    <xf numFmtId="0" fontId="25" fillId="0" borderId="3" xfId="0" applyFont="1" applyBorder="1" applyAlignment="1">
      <alignment horizontal="center" vertical="center"/>
    </xf>
    <xf numFmtId="0" fontId="25" fillId="0" borderId="15" xfId="0" applyFont="1" applyBorder="1" applyAlignment="1">
      <alignment horizontal="center" vertical="center"/>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17" xfId="0" applyFont="1" applyBorder="1" applyAlignment="1">
      <alignment horizontal="center" vertical="center"/>
    </xf>
    <xf numFmtId="0" fontId="25" fillId="0" borderId="18" xfId="0" applyFont="1" applyBorder="1" applyAlignment="1">
      <alignment horizontal="center" vertical="center"/>
    </xf>
    <xf numFmtId="0" fontId="25" fillId="0" borderId="13"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23" xfId="0" applyFont="1" applyBorder="1" applyAlignment="1">
      <alignment horizontal="center" vertical="center"/>
    </xf>
    <xf numFmtId="0" fontId="25" fillId="0" borderId="6"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2" xfId="0" applyFont="1" applyBorder="1" applyAlignment="1">
      <alignment horizontal="center" vertical="center"/>
    </xf>
    <xf numFmtId="0" fontId="25" fillId="0" borderId="14" xfId="0" applyFont="1" applyBorder="1" applyAlignment="1">
      <alignment horizontal="center" vertical="center"/>
    </xf>
    <xf numFmtId="0" fontId="50" fillId="0" borderId="1" xfId="0" applyFont="1" applyBorder="1" applyAlignment="1">
      <alignment horizontal="center" vertical="center" wrapText="1"/>
    </xf>
    <xf numFmtId="0" fontId="50" fillId="0" borderId="0" xfId="0" applyFont="1" applyAlignment="1">
      <alignment horizontal="center" vertical="center" wrapText="1"/>
    </xf>
    <xf numFmtId="0" fontId="68" fillId="0" borderId="0" xfId="0" applyFont="1" applyAlignment="1">
      <alignment horizontal="left" vertical="center" wrapText="1"/>
    </xf>
    <xf numFmtId="0" fontId="58" fillId="2" borderId="0" xfId="11" applyFont="1" applyFill="1" applyAlignment="1">
      <alignment horizontal="center"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65" fillId="0" borderId="16" xfId="0" applyFont="1" applyBorder="1" applyAlignment="1">
      <alignment horizontal="center" vertical="center"/>
    </xf>
    <xf numFmtId="0" fontId="65" fillId="0" borderId="0" xfId="0" applyFont="1" applyAlignment="1">
      <alignment horizontal="center" vertical="center"/>
    </xf>
    <xf numFmtId="0" fontId="25" fillId="0" borderId="16" xfId="0" applyFont="1" applyBorder="1" applyAlignment="1">
      <alignment horizontal="center" vertical="center" wrapText="1"/>
    </xf>
    <xf numFmtId="0" fontId="25" fillId="0" borderId="7" xfId="0" applyFont="1" applyBorder="1" applyAlignment="1">
      <alignment horizontal="center" vertical="center" wrapText="1"/>
    </xf>
    <xf numFmtId="0" fontId="50" fillId="0" borderId="13" xfId="0" applyFont="1" applyBorder="1" applyAlignment="1">
      <alignment horizontal="center" vertical="center" wrapText="1"/>
    </xf>
    <xf numFmtId="0" fontId="50" fillId="0" borderId="5"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3" xfId="0" applyFont="1" applyBorder="1" applyAlignment="1">
      <alignment horizontal="center" vertical="center" wrapText="1"/>
    </xf>
    <xf numFmtId="0" fontId="50" fillId="0" borderId="15" xfId="0" applyFont="1" applyBorder="1" applyAlignment="1">
      <alignment horizontal="center" vertical="center" wrapText="1"/>
    </xf>
    <xf numFmtId="0" fontId="50" fillId="0" borderId="18" xfId="0" applyFont="1" applyBorder="1" applyAlignment="1">
      <alignment horizontal="left" vertical="center"/>
    </xf>
    <xf numFmtId="0" fontId="50" fillId="0" borderId="0" xfId="0" applyFont="1" applyBorder="1" applyAlignment="1">
      <alignment horizontal="left" vertical="center"/>
    </xf>
    <xf numFmtId="0" fontId="27" fillId="0" borderId="0" xfId="1" applyFont="1" applyAlignment="1">
      <alignment horizontal="left" vertical="center" wrapText="1"/>
    </xf>
    <xf numFmtId="0" fontId="27" fillId="0" borderId="0" xfId="1" applyFont="1" applyAlignment="1">
      <alignment horizontal="left" vertical="center"/>
    </xf>
    <xf numFmtId="0" fontId="23" fillId="0" borderId="0" xfId="1" applyFont="1" applyAlignment="1">
      <alignment horizontal="center" vertical="center"/>
    </xf>
    <xf numFmtId="0" fontId="27" fillId="0" borderId="3" xfId="1" applyFont="1" applyBorder="1" applyAlignment="1">
      <alignment horizontal="right" vertical="center"/>
    </xf>
    <xf numFmtId="0" fontId="25" fillId="0" borderId="1" xfId="1" applyFont="1" applyBorder="1" applyAlignment="1">
      <alignment horizontal="center" vertical="center"/>
    </xf>
    <xf numFmtId="0" fontId="25" fillId="0" borderId="0" xfId="1" applyFont="1" applyAlignment="1">
      <alignment horizontal="center" vertical="center"/>
    </xf>
    <xf numFmtId="0" fontId="25" fillId="0" borderId="2" xfId="1" applyFont="1" applyBorder="1" applyAlignment="1">
      <alignment horizontal="distributed" vertical="center" indent="2"/>
    </xf>
    <xf numFmtId="0" fontId="76" fillId="2" borderId="0" xfId="11" applyFont="1" applyFill="1" applyAlignment="1">
      <alignment horizontal="center" vertical="center"/>
    </xf>
    <xf numFmtId="0" fontId="16" fillId="0" borderId="2" xfId="1" applyFont="1" applyBorder="1" applyAlignment="1">
      <alignment horizontal="center" vertical="center"/>
    </xf>
    <xf numFmtId="0" fontId="18" fillId="0" borderId="1" xfId="1" applyFont="1" applyBorder="1" applyAlignment="1">
      <alignment horizontal="left" vertical="center"/>
    </xf>
    <xf numFmtId="0" fontId="18" fillId="0" borderId="0" xfId="1" applyFont="1" applyAlignment="1">
      <alignment horizontal="left" vertical="center"/>
    </xf>
    <xf numFmtId="0" fontId="23" fillId="0" borderId="3" xfId="1" applyFont="1" applyBorder="1" applyAlignment="1">
      <alignment horizontal="center" vertical="center"/>
    </xf>
    <xf numFmtId="0" fontId="23" fillId="0" borderId="3" xfId="0" applyFont="1" applyBorder="1" applyAlignment="1">
      <alignment horizontal="center" vertical="center"/>
    </xf>
    <xf numFmtId="0" fontId="8" fillId="0" borderId="1" xfId="0" applyFont="1" applyBorder="1">
      <alignment vertical="center"/>
    </xf>
    <xf numFmtId="0" fontId="10" fillId="0" borderId="0" xfId="0" applyFont="1">
      <alignment vertical="center"/>
    </xf>
    <xf numFmtId="0" fontId="8" fillId="0" borderId="0" xfId="0" applyFont="1">
      <alignment vertical="center"/>
    </xf>
    <xf numFmtId="0" fontId="27" fillId="0" borderId="0" xfId="0" applyFont="1" applyAlignment="1">
      <alignment vertical="center" wrapText="1"/>
    </xf>
    <xf numFmtId="0" fontId="27" fillId="0" borderId="0" xfId="0" applyFont="1">
      <alignment vertical="center"/>
    </xf>
    <xf numFmtId="0" fontId="25" fillId="0" borderId="0" xfId="0" applyFont="1" applyAlignment="1">
      <alignment horizontal="right" vertical="center" wrapText="1"/>
    </xf>
    <xf numFmtId="0" fontId="53" fillId="0" borderId="3" xfId="0" applyFont="1" applyBorder="1" applyAlignment="1">
      <alignment horizontal="left" vertical="center" wrapText="1"/>
    </xf>
    <xf numFmtId="0" fontId="9" fillId="0" borderId="0" xfId="0" applyFont="1" applyAlignment="1">
      <alignment horizontal="left" vertical="center"/>
    </xf>
    <xf numFmtId="42" fontId="8" fillId="0" borderId="0" xfId="1" applyNumberFormat="1" applyFont="1" applyAlignment="1">
      <alignment horizontal="right"/>
    </xf>
    <xf numFmtId="0" fontId="4" fillId="0" borderId="3" xfId="1" applyFont="1" applyBorder="1" applyAlignment="1">
      <alignment horizontal="center" vertical="center"/>
    </xf>
    <xf numFmtId="0" fontId="6" fillId="0" borderId="3" xfId="1" applyFont="1" applyBorder="1" applyAlignment="1">
      <alignment horizontal="center" vertical="center"/>
    </xf>
    <xf numFmtId="0" fontId="7" fillId="0" borderId="0" xfId="1" applyFont="1" applyAlignment="1">
      <alignment horizontal="center" vertical="center"/>
    </xf>
    <xf numFmtId="0" fontId="8" fillId="0" borderId="0" xfId="1" applyFont="1"/>
    <xf numFmtId="0" fontId="7" fillId="0" borderId="0" xfId="1" applyFont="1" applyAlignment="1">
      <alignment horizontal="center" vertical="center" textRotation="255" shrinkToFit="1"/>
    </xf>
    <xf numFmtId="0" fontId="7" fillId="0" borderId="3" xfId="1" applyFont="1" applyBorder="1" applyAlignment="1">
      <alignment horizontal="center" vertical="center" textRotation="255" shrinkToFit="1"/>
    </xf>
    <xf numFmtId="0" fontId="8" fillId="0" borderId="0" xfId="1" applyFont="1" applyAlignment="1">
      <alignment horizontal="center"/>
    </xf>
    <xf numFmtId="42" fontId="8" fillId="0" borderId="3" xfId="1" applyNumberFormat="1" applyFont="1" applyBorder="1" applyAlignment="1">
      <alignment horizontal="right"/>
    </xf>
    <xf numFmtId="0" fontId="7" fillId="0" borderId="0" xfId="1" applyFont="1" applyAlignment="1">
      <alignment horizontal="center"/>
    </xf>
    <xf numFmtId="0" fontId="7" fillId="0" borderId="0" xfId="1" applyFont="1" applyAlignment="1">
      <alignment horizontal="left"/>
    </xf>
    <xf numFmtId="0" fontId="8" fillId="0" borderId="0" xfId="1" applyFont="1" applyAlignment="1">
      <alignment horizontal="left"/>
    </xf>
    <xf numFmtId="0" fontId="13" fillId="0" borderId="0" xfId="1" applyFont="1" applyAlignment="1">
      <alignment horizontal="left" vertical="center"/>
    </xf>
    <xf numFmtId="0" fontId="12" fillId="0" borderId="0" xfId="1" applyFont="1" applyAlignment="1">
      <alignment horizontal="left" vertical="center"/>
    </xf>
    <xf numFmtId="0" fontId="7" fillId="0" borderId="0" xfId="1" applyFont="1"/>
    <xf numFmtId="0" fontId="7" fillId="0" borderId="3" xfId="1" applyFont="1" applyBorder="1"/>
    <xf numFmtId="0" fontId="8" fillId="0" borderId="3" xfId="1" applyFont="1" applyBorder="1"/>
    <xf numFmtId="0" fontId="8" fillId="0" borderId="3" xfId="1" applyFont="1" applyBorder="1" applyAlignment="1">
      <alignment horizontal="center"/>
    </xf>
    <xf numFmtId="0" fontId="69" fillId="0" borderId="0" xfId="1" applyFont="1" applyAlignment="1">
      <alignment horizontal="left" vertical="center"/>
    </xf>
    <xf numFmtId="0" fontId="7" fillId="0" borderId="1" xfId="1" applyFont="1" applyBorder="1" applyAlignment="1">
      <alignment horizontal="center" vertical="center" textRotation="255"/>
    </xf>
    <xf numFmtId="0" fontId="8" fillId="0" borderId="0" xfId="1" applyFont="1" applyAlignment="1">
      <alignment horizontal="center" vertical="center" textRotation="255"/>
    </xf>
    <xf numFmtId="0" fontId="8" fillId="0" borderId="3" xfId="1" applyFont="1" applyBorder="1" applyAlignment="1">
      <alignment horizontal="center" vertical="center" textRotation="255"/>
    </xf>
    <xf numFmtId="0" fontId="9" fillId="0" borderId="1" xfId="1" applyFont="1" applyBorder="1" applyAlignment="1">
      <alignment horizontal="left"/>
    </xf>
    <xf numFmtId="0" fontId="8" fillId="0" borderId="1" xfId="1" applyFont="1" applyBorder="1" applyAlignment="1">
      <alignment horizontal="left"/>
    </xf>
    <xf numFmtId="42" fontId="10" fillId="0" borderId="0" xfId="1" applyNumberFormat="1" applyFont="1" applyAlignment="1">
      <alignment horizontal="right" vertical="center"/>
    </xf>
    <xf numFmtId="42" fontId="8" fillId="0" borderId="0" xfId="1" applyNumberFormat="1" applyFont="1" applyAlignment="1">
      <alignment horizontal="right" vertical="center"/>
    </xf>
    <xf numFmtId="0" fontId="9" fillId="0" borderId="0" xfId="1" applyFont="1" applyAlignment="1">
      <alignment horizontal="left"/>
    </xf>
    <xf numFmtId="0" fontId="14" fillId="0" borderId="0" xfId="1" applyFont="1" applyAlignment="1">
      <alignment horizontal="center" vertical="center"/>
    </xf>
    <xf numFmtId="0" fontId="16" fillId="0" borderId="1" xfId="1" applyFont="1" applyBorder="1" applyAlignment="1">
      <alignment horizontal="center" vertical="center" textRotation="255"/>
    </xf>
    <xf numFmtId="0" fontId="16" fillId="0" borderId="0" xfId="1" applyFont="1" applyAlignment="1">
      <alignment horizontal="center" vertical="center" textRotation="255"/>
    </xf>
    <xf numFmtId="0" fontId="16" fillId="0" borderId="1" xfId="1" applyFont="1" applyBorder="1" applyAlignment="1">
      <alignment horizontal="center" vertical="distributed" textRotation="255" indent="1"/>
    </xf>
    <xf numFmtId="0" fontId="16" fillId="0" borderId="0" xfId="1" applyFont="1" applyAlignment="1">
      <alignment horizontal="center" vertical="distributed" textRotation="255" indent="1"/>
    </xf>
    <xf numFmtId="0" fontId="16" fillId="0" borderId="3" xfId="1" applyFont="1" applyBorder="1" applyAlignment="1">
      <alignment horizontal="center" vertical="distributed" textRotation="255" indent="1"/>
    </xf>
    <xf numFmtId="0" fontId="16" fillId="0" borderId="2" xfId="1" applyFont="1" applyBorder="1" applyAlignment="1">
      <alignment horizontal="distributed" vertical="center" indent="2"/>
    </xf>
    <xf numFmtId="0" fontId="25" fillId="0" borderId="1" xfId="1" applyFont="1" applyBorder="1" applyAlignment="1">
      <alignment horizontal="center" vertical="distributed" textRotation="255" indent="1"/>
    </xf>
    <xf numFmtId="0" fontId="16" fillId="0" borderId="0" xfId="1" applyFont="1" applyAlignment="1">
      <alignment horizontal="left" indent="3"/>
    </xf>
    <xf numFmtId="44" fontId="16" fillId="0" borderId="0" xfId="1" applyNumberFormat="1" applyFont="1" applyAlignment="1">
      <alignment horizontal="right" vertical="center"/>
    </xf>
    <xf numFmtId="44" fontId="16" fillId="0" borderId="3" xfId="1" applyNumberFormat="1" applyFont="1" applyBorder="1" applyAlignment="1">
      <alignment horizontal="right" vertical="center"/>
    </xf>
    <xf numFmtId="0" fontId="21" fillId="0" borderId="3" xfId="1" applyFont="1" applyBorder="1" applyAlignment="1">
      <alignment horizontal="left" indent="3"/>
    </xf>
    <xf numFmtId="0" fontId="16" fillId="0" borderId="3" xfId="1" applyFont="1" applyBorder="1" applyAlignment="1">
      <alignment horizontal="center" vertical="center" textRotation="255"/>
    </xf>
    <xf numFmtId="0" fontId="16" fillId="0" borderId="1" xfId="1" applyFont="1" applyBorder="1" applyAlignment="1">
      <alignment horizontal="left" indent="1"/>
    </xf>
    <xf numFmtId="44" fontId="25" fillId="0" borderId="0" xfId="1" applyNumberFormat="1" applyFont="1" applyAlignment="1">
      <alignment horizontal="right" vertical="center"/>
    </xf>
    <xf numFmtId="0" fontId="16" fillId="0" borderId="0" xfId="1" applyFont="1" applyAlignment="1">
      <alignment horizontal="left" vertical="center" indent="5"/>
    </xf>
    <xf numFmtId="0" fontId="27" fillId="0" borderId="0" xfId="0" applyFont="1" applyAlignment="1">
      <alignment horizontal="left" vertical="top" wrapText="1"/>
    </xf>
    <xf numFmtId="0" fontId="14" fillId="0" borderId="3" xfId="1" applyFont="1" applyBorder="1" applyAlignment="1">
      <alignment horizontal="center" vertical="center"/>
    </xf>
    <xf numFmtId="0" fontId="25" fillId="0" borderId="0" xfId="1" applyFont="1" applyAlignment="1">
      <alignment horizontal="left" vertical="center" indent="3"/>
    </xf>
    <xf numFmtId="0" fontId="25" fillId="0" borderId="0" xfId="1" applyFont="1" applyAlignment="1">
      <alignment horizontal="left" vertical="center" indent="5"/>
    </xf>
    <xf numFmtId="0" fontId="26" fillId="0" borderId="2" xfId="1" applyFont="1" applyBorder="1" applyAlignment="1">
      <alignment horizontal="distributed" vertical="center" indent="2"/>
    </xf>
    <xf numFmtId="0" fontId="26" fillId="0" borderId="13" xfId="1" applyFont="1" applyBorder="1" applyAlignment="1">
      <alignment horizontal="distributed" vertical="center" indent="2"/>
    </xf>
    <xf numFmtId="0" fontId="26" fillId="0" borderId="1" xfId="1" applyFont="1" applyBorder="1" applyAlignment="1">
      <alignment horizontal="distributed" vertical="center" indent="2"/>
    </xf>
    <xf numFmtId="0" fontId="26" fillId="0" borderId="4" xfId="1" applyFont="1" applyBorder="1" applyAlignment="1">
      <alignment horizontal="distributed" indent="2"/>
    </xf>
    <xf numFmtId="0" fontId="26" fillId="0" borderId="3" xfId="1" applyFont="1" applyBorder="1" applyAlignment="1">
      <alignment horizontal="distributed" indent="2"/>
    </xf>
    <xf numFmtId="0" fontId="26" fillId="0" borderId="14" xfId="1" applyFont="1" applyBorder="1" applyAlignment="1">
      <alignment horizontal="distributed" vertical="center" indent="2"/>
    </xf>
    <xf numFmtId="0" fontId="26" fillId="0" borderId="1" xfId="1" applyFont="1" applyBorder="1" applyAlignment="1">
      <alignment horizontal="center" vertical="center"/>
    </xf>
    <xf numFmtId="0" fontId="26" fillId="0" borderId="3" xfId="1" applyFont="1" applyBorder="1" applyAlignment="1">
      <alignment horizontal="center" vertical="center"/>
    </xf>
    <xf numFmtId="0" fontId="25" fillId="0" borderId="3" xfId="1" applyFont="1" applyBorder="1" applyAlignment="1">
      <alignment horizontal="center" vertical="center"/>
    </xf>
    <xf numFmtId="0" fontId="26" fillId="0" borderId="6" xfId="1" applyFont="1" applyBorder="1" applyAlignment="1">
      <alignment horizontal="distributed" vertical="center" indent="2"/>
    </xf>
    <xf numFmtId="0" fontId="27" fillId="0" borderId="1" xfId="1" applyFont="1" applyBorder="1" applyAlignment="1">
      <alignment horizontal="left" vertical="center" wrapText="1"/>
    </xf>
    <xf numFmtId="0" fontId="42" fillId="0" borderId="0" xfId="1" applyFont="1" applyAlignment="1">
      <alignment horizontal="left" vertical="top" wrapText="1"/>
    </xf>
    <xf numFmtId="0" fontId="27" fillId="0" borderId="0" xfId="1" applyFont="1" applyAlignment="1">
      <alignment horizontal="left" vertical="top" wrapText="1"/>
    </xf>
    <xf numFmtId="0" fontId="25" fillId="0" borderId="5" xfId="1" applyFont="1" applyBorder="1" applyAlignment="1">
      <alignment horizontal="center" vertical="center"/>
    </xf>
    <xf numFmtId="0" fontId="25" fillId="0" borderId="15" xfId="1" applyFont="1" applyBorder="1" applyAlignment="1">
      <alignment horizontal="center" vertical="center"/>
    </xf>
    <xf numFmtId="0" fontId="18" fillId="0" borderId="0" xfId="1" applyFont="1" applyAlignment="1">
      <alignment horizontal="left" vertical="top" wrapText="1"/>
    </xf>
    <xf numFmtId="0" fontId="18" fillId="0" borderId="0" xfId="1" applyFont="1" applyAlignment="1">
      <alignment vertical="center"/>
    </xf>
    <xf numFmtId="0" fontId="16" fillId="0" borderId="0" xfId="1" applyFont="1" applyAlignment="1">
      <alignment vertical="center"/>
    </xf>
    <xf numFmtId="0" fontId="16" fillId="0" borderId="10" xfId="1" applyFont="1" applyBorder="1" applyAlignment="1">
      <alignment horizontal="center" vertical="center"/>
    </xf>
    <xf numFmtId="0" fontId="16" fillId="0" borderId="3" xfId="1" applyFont="1" applyBorder="1" applyAlignment="1">
      <alignment horizontal="center" vertical="center"/>
    </xf>
    <xf numFmtId="0" fontId="25" fillId="0" borderId="10" xfId="0" applyFont="1" applyBorder="1" applyAlignment="1">
      <alignment horizontal="center" vertical="center"/>
    </xf>
    <xf numFmtId="0" fontId="25" fillId="0" borderId="2" xfId="1" applyFont="1" applyBorder="1" applyAlignment="1">
      <alignment horizontal="center" vertical="center" shrinkToFit="1"/>
    </xf>
    <xf numFmtId="0" fontId="27" fillId="0" borderId="0" xfId="3" applyFont="1" applyAlignment="1">
      <alignment horizontal="left" vertical="center" wrapText="1"/>
    </xf>
    <xf numFmtId="0" fontId="72" fillId="0" borderId="0" xfId="1" applyFont="1" applyAlignment="1">
      <alignment horizontal="center" vertical="center"/>
    </xf>
    <xf numFmtId="0" fontId="25" fillId="0" borderId="2" xfId="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6" fillId="0" borderId="1" xfId="1" applyFont="1" applyBorder="1" applyAlignment="1">
      <alignment horizontal="center" vertical="center"/>
    </xf>
    <xf numFmtId="0" fontId="16" fillId="0" borderId="0" xfId="1" applyFont="1" applyAlignment="1">
      <alignment horizontal="center" vertical="center"/>
    </xf>
    <xf numFmtId="0" fontId="18" fillId="0" borderId="0" xfId="1" applyFont="1" applyAlignment="1">
      <alignment horizontal="left" vertical="top"/>
    </xf>
    <xf numFmtId="0" fontId="16" fillId="0" borderId="12" xfId="1" applyFont="1"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19" fillId="0" borderId="0" xfId="1" applyFont="1" applyAlignment="1">
      <alignment horizontal="left" vertical="top" wrapText="1"/>
    </xf>
    <xf numFmtId="0" fontId="19" fillId="0" borderId="0" xfId="1" applyFont="1" applyAlignment="1">
      <alignment horizontal="left" vertical="top"/>
    </xf>
    <xf numFmtId="0" fontId="42" fillId="0" borderId="1" xfId="1" applyFont="1" applyBorder="1" applyAlignment="1">
      <alignment horizontal="left" vertical="center" wrapText="1"/>
    </xf>
    <xf numFmtId="0" fontId="73" fillId="0" borderId="0" xfId="1" applyFont="1" applyAlignment="1">
      <alignment horizontal="center" vertical="center"/>
    </xf>
    <xf numFmtId="0" fontId="0" fillId="0" borderId="2" xfId="1" applyFont="1" applyBorder="1" applyAlignment="1">
      <alignment horizontal="center" vertical="center"/>
    </xf>
    <xf numFmtId="0" fontId="16" fillId="0" borderId="2" xfId="1" applyFont="1" applyBorder="1" applyAlignment="1">
      <alignment horizontal="center" vertical="center" shrinkToFit="1"/>
    </xf>
    <xf numFmtId="0" fontId="19" fillId="0" borderId="0" xfId="1" applyFont="1" applyAlignment="1">
      <alignment vertical="top" wrapText="1"/>
    </xf>
    <xf numFmtId="0" fontId="16" fillId="0" borderId="9" xfId="1" applyFont="1" applyBorder="1" applyAlignment="1">
      <alignment horizontal="center" vertical="center"/>
    </xf>
    <xf numFmtId="0" fontId="18" fillId="0" borderId="0" xfId="1" applyFont="1" applyAlignment="1">
      <alignment horizontal="left" vertical="center" wrapText="1"/>
    </xf>
    <xf numFmtId="0" fontId="0" fillId="0" borderId="0" xfId="0" applyAlignment="1">
      <alignment horizontal="center" vertical="center"/>
    </xf>
    <xf numFmtId="0" fontId="35" fillId="0" borderId="3" xfId="0" applyFont="1" applyBorder="1" applyAlignment="1">
      <alignment horizontal="center" vertical="center"/>
    </xf>
    <xf numFmtId="0" fontId="19" fillId="0" borderId="0" xfId="1" applyFont="1" applyAlignment="1">
      <alignment horizontal="left" vertical="center"/>
    </xf>
    <xf numFmtId="0" fontId="18" fillId="0" borderId="1" xfId="1" applyFont="1" applyBorder="1" applyAlignment="1">
      <alignment horizontal="left"/>
    </xf>
    <xf numFmtId="0" fontId="18" fillId="0" borderId="0" xfId="1" applyFont="1" applyAlignment="1">
      <alignment horizontal="left"/>
    </xf>
    <xf numFmtId="0" fontId="28" fillId="0" borderId="0" xfId="1" applyFont="1" applyAlignment="1">
      <alignment horizontal="left" vertical="top" wrapText="1"/>
    </xf>
    <xf numFmtId="0" fontId="27" fillId="0" borderId="0" xfId="1" applyFont="1" applyAlignment="1">
      <alignment horizontal="left" vertical="top"/>
    </xf>
    <xf numFmtId="0" fontId="26" fillId="0" borderId="9" xfId="1" applyFont="1" applyBorder="1" applyAlignment="1">
      <alignment horizontal="center" vertical="center"/>
    </xf>
    <xf numFmtId="0" fontId="26" fillId="0" borderId="0" xfId="1" applyFont="1" applyAlignment="1">
      <alignment horizontal="center" vertical="center"/>
    </xf>
    <xf numFmtId="0" fontId="25" fillId="0" borderId="10" xfId="1" applyFont="1" applyBorder="1" applyAlignment="1">
      <alignment horizontal="center" vertical="center"/>
    </xf>
    <xf numFmtId="0" fontId="18" fillId="0" borderId="1" xfId="1" applyFont="1" applyBorder="1" applyAlignment="1">
      <alignment vertical="center"/>
    </xf>
    <xf numFmtId="0" fontId="18" fillId="0" borderId="1" xfId="1" applyFont="1" applyBorder="1" applyAlignment="1">
      <alignment horizontal="left" vertical="center" wrapText="1"/>
    </xf>
    <xf numFmtId="0" fontId="25" fillId="0" borderId="3" xfId="1" applyFont="1" applyBorder="1" applyAlignment="1">
      <alignment horizontal="center" vertical="center" wrapText="1"/>
    </xf>
    <xf numFmtId="0" fontId="18" fillId="0" borderId="1" xfId="1" applyFont="1" applyBorder="1" applyAlignment="1">
      <alignment vertical="center" wrapText="1"/>
    </xf>
    <xf numFmtId="0" fontId="18" fillId="0" borderId="0" xfId="1" applyFont="1" applyAlignment="1">
      <alignment vertical="center" wrapText="1"/>
    </xf>
    <xf numFmtId="0" fontId="16" fillId="0" borderId="0" xfId="1" applyFont="1" applyAlignment="1">
      <alignment vertical="center" wrapText="1"/>
    </xf>
    <xf numFmtId="0" fontId="14" fillId="0" borderId="3" xfId="4" applyFont="1" applyBorder="1" applyAlignment="1">
      <alignment horizontal="center" vertical="center"/>
    </xf>
    <xf numFmtId="38" fontId="16" fillId="0" borderId="1" xfId="4" applyNumberFormat="1" applyBorder="1" applyAlignment="1">
      <alignment horizontal="center" vertical="distributed"/>
    </xf>
    <xf numFmtId="0" fontId="16" fillId="0" borderId="1" xfId="4" applyBorder="1" applyAlignment="1">
      <alignment horizontal="center" vertical="distributed"/>
    </xf>
    <xf numFmtId="0" fontId="39" fillId="0" borderId="0" xfId="4" applyFont="1" applyAlignment="1">
      <alignment horizontal="center" vertical="distributed" textRotation="255" indent="2"/>
    </xf>
    <xf numFmtId="0" fontId="39" fillId="0" borderId="0" xfId="4" applyFont="1" applyAlignment="1">
      <alignment horizontal="center" vertical="distributed"/>
    </xf>
    <xf numFmtId="0" fontId="16" fillId="0" borderId="0" xfId="4" applyAlignment="1">
      <alignment horizontal="center" vertical="distributed"/>
    </xf>
    <xf numFmtId="0" fontId="16" fillId="0" borderId="0" xfId="4" applyAlignment="1">
      <alignment horizontal="center" vertical="center"/>
    </xf>
    <xf numFmtId="0" fontId="19" fillId="0" borderId="0" xfId="4" applyFont="1" applyAlignment="1">
      <alignment horizontal="left" vertical="top" wrapText="1"/>
    </xf>
    <xf numFmtId="0" fontId="0" fillId="0" borderId="0" xfId="4" applyFont="1" applyAlignment="1">
      <alignment horizontal="center" vertical="distributed" textRotation="255" indent="2"/>
    </xf>
    <xf numFmtId="0" fontId="0" fillId="0" borderId="0" xfId="4" applyFont="1" applyAlignment="1">
      <alignment horizontal="center" vertical="distributed"/>
    </xf>
    <xf numFmtId="0" fontId="16" fillId="0" borderId="0" xfId="4" applyAlignment="1">
      <alignment horizontal="center" vertical="distributed" textRotation="255" indent="2"/>
    </xf>
    <xf numFmtId="0" fontId="16" fillId="0" borderId="3" xfId="4" applyBorder="1" applyAlignment="1">
      <alignment horizontal="center" vertical="distributed" textRotation="255" indent="2"/>
    </xf>
    <xf numFmtId="0" fontId="16" fillId="0" borderId="3" xfId="4" applyBorder="1" applyAlignment="1">
      <alignment horizontal="center" vertical="center"/>
    </xf>
    <xf numFmtId="0" fontId="16" fillId="0" borderId="0" xfId="4" applyAlignment="1">
      <alignment horizontal="distributed" vertical="distributed"/>
    </xf>
    <xf numFmtId="0" fontId="23" fillId="0" borderId="0" xfId="4" applyFont="1" applyAlignment="1">
      <alignment horizontal="center" vertical="center"/>
    </xf>
    <xf numFmtId="0" fontId="16" fillId="0" borderId="1" xfId="4" applyBorder="1" applyAlignment="1">
      <alignment horizontal="distributed" vertical="distributed"/>
    </xf>
    <xf numFmtId="0" fontId="16" fillId="0" borderId="2" xfId="4" applyBorder="1" applyAlignment="1">
      <alignment horizontal="center" vertical="center"/>
    </xf>
    <xf numFmtId="0" fontId="18" fillId="0" borderId="0" xfId="4" applyFont="1" applyAlignment="1">
      <alignment horizontal="left" vertical="top"/>
    </xf>
    <xf numFmtId="0" fontId="19" fillId="0" borderId="1" xfId="4" applyFont="1" applyBorder="1" applyAlignment="1">
      <alignment horizontal="left" vertical="center"/>
    </xf>
    <xf numFmtId="0" fontId="16" fillId="0" borderId="3" xfId="4" applyBorder="1" applyAlignment="1">
      <alignment horizontal="distributed" vertical="distributed"/>
    </xf>
    <xf numFmtId="0" fontId="23" fillId="0" borderId="3" xfId="4" applyFont="1" applyBorder="1" applyAlignment="1">
      <alignment horizontal="center" vertical="center"/>
    </xf>
    <xf numFmtId="0" fontId="16" fillId="0" borderId="1" xfId="4" applyBorder="1" applyAlignment="1">
      <alignment horizontal="distributed" vertical="center"/>
    </xf>
    <xf numFmtId="0" fontId="16" fillId="0" borderId="0" xfId="4" applyAlignment="1">
      <alignment horizontal="distributed" vertical="center"/>
    </xf>
    <xf numFmtId="0" fontId="16" fillId="0" borderId="2" xfId="4" applyBorder="1" applyAlignment="1">
      <alignment horizontal="center" vertical="center" wrapText="1"/>
    </xf>
    <xf numFmtId="0" fontId="18" fillId="0" borderId="1" xfId="4" applyFont="1" applyBorder="1" applyAlignment="1">
      <alignment horizontal="left" vertical="center"/>
    </xf>
    <xf numFmtId="0" fontId="23" fillId="0" borderId="0" xfId="4" applyFont="1" applyAlignment="1">
      <alignment vertical="center"/>
    </xf>
    <xf numFmtId="0" fontId="25" fillId="0" borderId="0" xfId="4" applyFont="1" applyAlignment="1">
      <alignment horizontal="distributed" vertical="center" wrapText="1"/>
    </xf>
    <xf numFmtId="0" fontId="25" fillId="0" borderId="0" xfId="4" applyFont="1" applyAlignment="1">
      <alignment horizontal="distributed" vertical="center"/>
    </xf>
    <xf numFmtId="0" fontId="18" fillId="0" borderId="0" xfId="4" applyFont="1" applyAlignment="1">
      <alignment horizontal="left" vertical="center"/>
    </xf>
    <xf numFmtId="0" fontId="16" fillId="0" borderId="3" xfId="4" applyBorder="1" applyAlignment="1">
      <alignment horizontal="distributed" vertical="center"/>
    </xf>
    <xf numFmtId="0" fontId="14" fillId="0" borderId="0" xfId="4" applyFont="1" applyAlignment="1">
      <alignment horizontal="center" vertical="center"/>
    </xf>
    <xf numFmtId="0" fontId="14" fillId="0" borderId="0" xfId="4" applyFont="1"/>
    <xf numFmtId="0" fontId="22" fillId="0" borderId="1" xfId="4" applyFont="1" applyBorder="1" applyAlignment="1">
      <alignment horizontal="left"/>
    </xf>
    <xf numFmtId="0" fontId="21" fillId="0" borderId="0" xfId="4" applyFont="1" applyAlignment="1">
      <alignment horizontal="left" vertical="top" wrapText="1"/>
    </xf>
    <xf numFmtId="0" fontId="21" fillId="0" borderId="0" xfId="4" applyFont="1" applyAlignment="1">
      <alignment horizontal="left" vertical="top"/>
    </xf>
    <xf numFmtId="0" fontId="16" fillId="0" borderId="0" xfId="4" applyAlignment="1">
      <alignment horizontal="distributed" vertical="center" wrapText="1"/>
    </xf>
    <xf numFmtId="0" fontId="16" fillId="0" borderId="3" xfId="4" applyBorder="1" applyAlignment="1">
      <alignment horizontal="distributed"/>
    </xf>
    <xf numFmtId="0" fontId="16" fillId="0" borderId="0" xfId="4" applyAlignment="1">
      <alignment horizontal="distributed"/>
    </xf>
    <xf numFmtId="0" fontId="18" fillId="0" borderId="0" xfId="4" applyFont="1" applyAlignment="1">
      <alignment vertical="center"/>
    </xf>
    <xf numFmtId="0" fontId="18" fillId="0" borderId="0" xfId="4" applyFont="1" applyAlignment="1">
      <alignment horizontal="left" vertical="center" wrapText="1"/>
    </xf>
    <xf numFmtId="0" fontId="18" fillId="0" borderId="0" xfId="4" applyFont="1"/>
    <xf numFmtId="0" fontId="18" fillId="0" borderId="0" xfId="4" applyFont="1" applyAlignment="1">
      <alignment horizontal="left" wrapText="1"/>
    </xf>
    <xf numFmtId="0" fontId="18" fillId="0" borderId="0" xfId="4" applyFont="1" applyAlignment="1">
      <alignment horizontal="left"/>
    </xf>
    <xf numFmtId="0" fontId="31" fillId="0" borderId="1" xfId="4" applyFont="1" applyBorder="1" applyAlignment="1">
      <alignment horizontal="left" vertical="center"/>
    </xf>
    <xf numFmtId="0" fontId="18" fillId="0" borderId="1" xfId="4" applyFont="1" applyBorder="1" applyAlignment="1">
      <alignment horizontal="left"/>
    </xf>
    <xf numFmtId="0" fontId="18" fillId="0" borderId="0" xfId="4" applyFont="1" applyAlignment="1">
      <alignment horizontal="left" vertical="top" wrapText="1"/>
    </xf>
    <xf numFmtId="0" fontId="23" fillId="0" borderId="0" xfId="4" applyFont="1"/>
    <xf numFmtId="0" fontId="16" fillId="0" borderId="0" xfId="4" applyAlignment="1">
      <alignment horizontal="right" vertical="distributed"/>
    </xf>
    <xf numFmtId="0" fontId="16" fillId="0" borderId="0" xfId="4" applyAlignment="1">
      <alignment horizontal="left" vertical="distributed"/>
    </xf>
    <xf numFmtId="0" fontId="16" fillId="0" borderId="0" xfId="4" applyAlignment="1">
      <alignment horizontal="left" vertical="center"/>
    </xf>
    <xf numFmtId="0" fontId="16" fillId="0" borderId="3" xfId="4" applyBorder="1" applyAlignment="1">
      <alignment horizontal="left" vertical="center"/>
    </xf>
    <xf numFmtId="0" fontId="16" fillId="0" borderId="0" xfId="1" applyFont="1" applyBorder="1" applyAlignment="1">
      <alignment horizontal="center" vertical="center"/>
    </xf>
  </cellXfs>
  <cellStyles count="13">
    <cellStyle name="一般" xfId="0" builtinId="0"/>
    <cellStyle name="一般 10" xfId="7"/>
    <cellStyle name="一般 2" xfId="10"/>
    <cellStyle name="一般 2 3" xfId="3"/>
    <cellStyle name="一般 2 4" xfId="1"/>
    <cellStyle name="一般 4 2 2 2" xfId="6"/>
    <cellStyle name="一般_95年終部長重要指標簡短(矯正)" xfId="8"/>
    <cellStyle name="一般_表1-1-1-表1-3-4" xfId="9"/>
    <cellStyle name="一般_表4-3-5~16少輔" xfId="4"/>
    <cellStyle name="千分位 8" xfId="2"/>
    <cellStyle name="千分位[0]_表4-3-5~16少輔" xfId="5"/>
    <cellStyle name="超連結" xfId="11" builtinId="8"/>
    <cellStyle name="樣式 1" xfId="12"/>
  </cellStyles>
  <dxfs count="7">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drawing1.xml><?xml version="1.0" encoding="utf-8"?>
<xdr:wsDr xmlns:xdr="http://schemas.openxmlformats.org/drawingml/2006/spreadsheetDrawing" xmlns:a="http://schemas.openxmlformats.org/drawingml/2006/main">
  <xdr:twoCellAnchor>
    <xdr:from>
      <xdr:col>5</xdr:col>
      <xdr:colOff>570138</xdr:colOff>
      <xdr:row>4</xdr:row>
      <xdr:rowOff>76200</xdr:rowOff>
    </xdr:from>
    <xdr:to>
      <xdr:col>6</xdr:col>
      <xdr:colOff>115660</xdr:colOff>
      <xdr:row>4</xdr:row>
      <xdr:rowOff>190500</xdr:rowOff>
    </xdr:to>
    <xdr:sp macro="" textlink="">
      <xdr:nvSpPr>
        <xdr:cNvPr id="2" name="等腰三角形 1">
          <a:extLst>
            <a:ext uri="{FF2B5EF4-FFF2-40B4-BE49-F238E27FC236}">
              <a16:creationId xmlns:a16="http://schemas.microsoft.com/office/drawing/2014/main" id="{00000000-0008-0000-0100-000002000000}"/>
            </a:ext>
          </a:extLst>
        </xdr:cNvPr>
        <xdr:cNvSpPr/>
      </xdr:nvSpPr>
      <xdr:spPr>
        <a:xfrm rot="10800000">
          <a:off x="3741963" y="885825"/>
          <a:ext cx="231322" cy="11430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10</xdr:col>
      <xdr:colOff>1815703</xdr:colOff>
      <xdr:row>4</xdr:row>
      <xdr:rowOff>92529</xdr:rowOff>
    </xdr:from>
    <xdr:to>
      <xdr:col>11</xdr:col>
      <xdr:colOff>124333</xdr:colOff>
      <xdr:row>5</xdr:row>
      <xdr:rowOff>0</xdr:rowOff>
    </xdr:to>
    <xdr:sp macro="" textlink="">
      <xdr:nvSpPr>
        <xdr:cNvPr id="3" name="等腰三角形 2">
          <a:extLst>
            <a:ext uri="{FF2B5EF4-FFF2-40B4-BE49-F238E27FC236}">
              <a16:creationId xmlns:a16="http://schemas.microsoft.com/office/drawing/2014/main" id="{00000000-0008-0000-0100-000003000000}"/>
            </a:ext>
          </a:extLst>
        </xdr:cNvPr>
        <xdr:cNvSpPr/>
      </xdr:nvSpPr>
      <xdr:spPr>
        <a:xfrm rot="10800000">
          <a:off x="8405812" y="914060"/>
          <a:ext cx="261255" cy="109878"/>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6</xdr:col>
      <xdr:colOff>577623</xdr:colOff>
      <xdr:row>5</xdr:row>
      <xdr:rowOff>94573</xdr:rowOff>
    </xdr:from>
    <xdr:to>
      <xdr:col>7</xdr:col>
      <xdr:colOff>4762</xdr:colOff>
      <xdr:row>6</xdr:row>
      <xdr:rowOff>116344</xdr:rowOff>
    </xdr:to>
    <xdr:sp macro="" textlink="">
      <xdr:nvSpPr>
        <xdr:cNvPr id="4" name="等腰三角形 3">
          <a:extLst>
            <a:ext uri="{FF2B5EF4-FFF2-40B4-BE49-F238E27FC236}">
              <a16:creationId xmlns:a16="http://schemas.microsoft.com/office/drawing/2014/main" id="{00000000-0008-0000-0100-000004000000}"/>
            </a:ext>
          </a:extLst>
        </xdr:cNvPr>
        <xdr:cNvSpPr/>
      </xdr:nvSpPr>
      <xdr:spPr>
        <a:xfrm rot="5239388">
          <a:off x="4376057" y="1163414"/>
          <a:ext cx="231321" cy="112939"/>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8</xdr:col>
      <xdr:colOff>572860</xdr:colOff>
      <xdr:row>8</xdr:row>
      <xdr:rowOff>92530</xdr:rowOff>
    </xdr:from>
    <xdr:to>
      <xdr:col>9</xdr:col>
      <xdr:colOff>118381</xdr:colOff>
      <xdr:row>9</xdr:row>
      <xdr:rowOff>9526</xdr:rowOff>
    </xdr:to>
    <xdr:sp macro="" textlink="">
      <xdr:nvSpPr>
        <xdr:cNvPr id="5" name="等腰三角形 4">
          <a:extLst>
            <a:ext uri="{FF2B5EF4-FFF2-40B4-BE49-F238E27FC236}">
              <a16:creationId xmlns:a16="http://schemas.microsoft.com/office/drawing/2014/main" id="{00000000-0008-0000-0100-000005000000}"/>
            </a:ext>
          </a:extLst>
        </xdr:cNvPr>
        <xdr:cNvSpPr/>
      </xdr:nvSpPr>
      <xdr:spPr>
        <a:xfrm rot="10800000">
          <a:off x="5802085" y="1711780"/>
          <a:ext cx="231321" cy="117021"/>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8</xdr:col>
      <xdr:colOff>575582</xdr:colOff>
      <xdr:row>11</xdr:row>
      <xdr:rowOff>95251</xdr:rowOff>
    </xdr:from>
    <xdr:to>
      <xdr:col>9</xdr:col>
      <xdr:colOff>121103</xdr:colOff>
      <xdr:row>11</xdr:row>
      <xdr:rowOff>209551</xdr:rowOff>
    </xdr:to>
    <xdr:sp macro="" textlink="">
      <xdr:nvSpPr>
        <xdr:cNvPr id="6" name="等腰三角形 5">
          <a:extLst>
            <a:ext uri="{FF2B5EF4-FFF2-40B4-BE49-F238E27FC236}">
              <a16:creationId xmlns:a16="http://schemas.microsoft.com/office/drawing/2014/main" id="{00000000-0008-0000-0100-000006000000}"/>
            </a:ext>
          </a:extLst>
        </xdr:cNvPr>
        <xdr:cNvSpPr/>
      </xdr:nvSpPr>
      <xdr:spPr>
        <a:xfrm rot="10800000">
          <a:off x="5804807" y="2857501"/>
          <a:ext cx="231321" cy="11430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6</xdr:col>
      <xdr:colOff>571500</xdr:colOff>
      <xdr:row>11</xdr:row>
      <xdr:rowOff>97972</xdr:rowOff>
    </xdr:from>
    <xdr:to>
      <xdr:col>7</xdr:col>
      <xdr:colOff>117021</xdr:colOff>
      <xdr:row>12</xdr:row>
      <xdr:rowOff>1361</xdr:rowOff>
    </xdr:to>
    <xdr:sp macro="" textlink="">
      <xdr:nvSpPr>
        <xdr:cNvPr id="7" name="等腰三角形 6">
          <a:extLst>
            <a:ext uri="{FF2B5EF4-FFF2-40B4-BE49-F238E27FC236}">
              <a16:creationId xmlns:a16="http://schemas.microsoft.com/office/drawing/2014/main" id="{00000000-0008-0000-0100-000007000000}"/>
            </a:ext>
          </a:extLst>
        </xdr:cNvPr>
        <xdr:cNvSpPr/>
      </xdr:nvSpPr>
      <xdr:spPr>
        <a:xfrm rot="10800000">
          <a:off x="4429125" y="2860222"/>
          <a:ext cx="231321" cy="112939"/>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11</xdr:col>
      <xdr:colOff>574221</xdr:colOff>
      <xdr:row>11</xdr:row>
      <xdr:rowOff>93890</xdr:rowOff>
    </xdr:from>
    <xdr:to>
      <xdr:col>12</xdr:col>
      <xdr:colOff>119742</xdr:colOff>
      <xdr:row>11</xdr:row>
      <xdr:rowOff>208190</xdr:rowOff>
    </xdr:to>
    <xdr:sp macro="" textlink="">
      <xdr:nvSpPr>
        <xdr:cNvPr id="8" name="等腰三角形 7">
          <a:extLst>
            <a:ext uri="{FF2B5EF4-FFF2-40B4-BE49-F238E27FC236}">
              <a16:creationId xmlns:a16="http://schemas.microsoft.com/office/drawing/2014/main" id="{00000000-0008-0000-0100-000008000000}"/>
            </a:ext>
          </a:extLst>
        </xdr:cNvPr>
        <xdr:cNvSpPr/>
      </xdr:nvSpPr>
      <xdr:spPr>
        <a:xfrm rot="10800000">
          <a:off x="7860846" y="2856140"/>
          <a:ext cx="231321" cy="11430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8</xdr:col>
      <xdr:colOff>571500</xdr:colOff>
      <xdr:row>15</xdr:row>
      <xdr:rowOff>84364</xdr:rowOff>
    </xdr:from>
    <xdr:to>
      <xdr:col>9</xdr:col>
      <xdr:colOff>117021</xdr:colOff>
      <xdr:row>16</xdr:row>
      <xdr:rowOff>1361</xdr:rowOff>
    </xdr:to>
    <xdr:sp macro="" textlink="">
      <xdr:nvSpPr>
        <xdr:cNvPr id="9" name="等腰三角形 8">
          <a:extLst>
            <a:ext uri="{FF2B5EF4-FFF2-40B4-BE49-F238E27FC236}">
              <a16:creationId xmlns:a16="http://schemas.microsoft.com/office/drawing/2014/main" id="{00000000-0008-0000-0100-000009000000}"/>
            </a:ext>
          </a:extLst>
        </xdr:cNvPr>
        <xdr:cNvSpPr/>
      </xdr:nvSpPr>
      <xdr:spPr>
        <a:xfrm rot="10800000">
          <a:off x="5800725" y="3770539"/>
          <a:ext cx="231321" cy="117022"/>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3</xdr:col>
      <xdr:colOff>567418</xdr:colOff>
      <xdr:row>15</xdr:row>
      <xdr:rowOff>80281</xdr:rowOff>
    </xdr:from>
    <xdr:to>
      <xdr:col>4</xdr:col>
      <xdr:colOff>112939</xdr:colOff>
      <xdr:row>15</xdr:row>
      <xdr:rowOff>194581</xdr:rowOff>
    </xdr:to>
    <xdr:sp macro="" textlink="">
      <xdr:nvSpPr>
        <xdr:cNvPr id="10" name="等腰三角形 9">
          <a:extLst>
            <a:ext uri="{FF2B5EF4-FFF2-40B4-BE49-F238E27FC236}">
              <a16:creationId xmlns:a16="http://schemas.microsoft.com/office/drawing/2014/main" id="{00000000-0008-0000-0100-00000A000000}"/>
            </a:ext>
          </a:extLst>
        </xdr:cNvPr>
        <xdr:cNvSpPr/>
      </xdr:nvSpPr>
      <xdr:spPr>
        <a:xfrm rot="10800000">
          <a:off x="2367643" y="3766456"/>
          <a:ext cx="231321" cy="11430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10</xdr:col>
      <xdr:colOff>8844</xdr:colOff>
      <xdr:row>19</xdr:row>
      <xdr:rowOff>97291</xdr:rowOff>
    </xdr:from>
    <xdr:to>
      <xdr:col>10</xdr:col>
      <xdr:colOff>123144</xdr:colOff>
      <xdr:row>20</xdr:row>
      <xdr:rowOff>119062</xdr:rowOff>
    </xdr:to>
    <xdr:sp macro="" textlink="">
      <xdr:nvSpPr>
        <xdr:cNvPr id="13" name="等腰三角形 12">
          <a:extLst>
            <a:ext uri="{FF2B5EF4-FFF2-40B4-BE49-F238E27FC236}">
              <a16:creationId xmlns:a16="http://schemas.microsoft.com/office/drawing/2014/main" id="{00000000-0008-0000-0100-00000D000000}"/>
            </a:ext>
          </a:extLst>
        </xdr:cNvPr>
        <xdr:cNvSpPr/>
      </xdr:nvSpPr>
      <xdr:spPr>
        <a:xfrm rot="16200000">
          <a:off x="6551158" y="4746852"/>
          <a:ext cx="231321" cy="11430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8</xdr:col>
      <xdr:colOff>567417</xdr:colOff>
      <xdr:row>22</xdr:row>
      <xdr:rowOff>80282</xdr:rowOff>
    </xdr:from>
    <xdr:to>
      <xdr:col>9</xdr:col>
      <xdr:colOff>112938</xdr:colOff>
      <xdr:row>22</xdr:row>
      <xdr:rowOff>194582</xdr:rowOff>
    </xdr:to>
    <xdr:sp macro="" textlink="">
      <xdr:nvSpPr>
        <xdr:cNvPr id="14" name="等腰三角形 13">
          <a:extLst>
            <a:ext uri="{FF2B5EF4-FFF2-40B4-BE49-F238E27FC236}">
              <a16:creationId xmlns:a16="http://schemas.microsoft.com/office/drawing/2014/main" id="{00000000-0008-0000-0100-00000E000000}"/>
            </a:ext>
          </a:extLst>
        </xdr:cNvPr>
        <xdr:cNvSpPr/>
      </xdr:nvSpPr>
      <xdr:spPr>
        <a:xfrm rot="10800000">
          <a:off x="5796642" y="5299982"/>
          <a:ext cx="231321" cy="11430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11</xdr:col>
      <xdr:colOff>567730</xdr:colOff>
      <xdr:row>22</xdr:row>
      <xdr:rowOff>80492</xdr:rowOff>
    </xdr:from>
    <xdr:to>
      <xdr:col>12</xdr:col>
      <xdr:colOff>113251</xdr:colOff>
      <xdr:row>22</xdr:row>
      <xdr:rowOff>194792</xdr:rowOff>
    </xdr:to>
    <xdr:sp macro="" textlink="">
      <xdr:nvSpPr>
        <xdr:cNvPr id="15" name="等腰三角形 14">
          <a:extLst>
            <a:ext uri="{FF2B5EF4-FFF2-40B4-BE49-F238E27FC236}">
              <a16:creationId xmlns:a16="http://schemas.microsoft.com/office/drawing/2014/main" id="{00000000-0008-0000-0100-00000F000000}"/>
            </a:ext>
          </a:extLst>
        </xdr:cNvPr>
        <xdr:cNvSpPr/>
      </xdr:nvSpPr>
      <xdr:spPr>
        <a:xfrm rot="10800000">
          <a:off x="7854355" y="5300192"/>
          <a:ext cx="231321" cy="11430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11</xdr:col>
      <xdr:colOff>8844</xdr:colOff>
      <xdr:row>5</xdr:row>
      <xdr:rowOff>93208</xdr:rowOff>
    </xdr:from>
    <xdr:to>
      <xdr:col>11</xdr:col>
      <xdr:colOff>123144</xdr:colOff>
      <xdr:row>6</xdr:row>
      <xdr:rowOff>114980</xdr:rowOff>
    </xdr:to>
    <xdr:sp macro="" textlink="">
      <xdr:nvSpPr>
        <xdr:cNvPr id="16" name="等腰三角形 15">
          <a:extLst>
            <a:ext uri="{FF2B5EF4-FFF2-40B4-BE49-F238E27FC236}">
              <a16:creationId xmlns:a16="http://schemas.microsoft.com/office/drawing/2014/main" id="{00000000-0008-0000-0100-000010000000}"/>
            </a:ext>
          </a:extLst>
        </xdr:cNvPr>
        <xdr:cNvSpPr/>
      </xdr:nvSpPr>
      <xdr:spPr>
        <a:xfrm rot="16200000">
          <a:off x="7236958" y="1161369"/>
          <a:ext cx="231322" cy="11430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5</xdr:col>
      <xdr:colOff>566509</xdr:colOff>
      <xdr:row>19</xdr:row>
      <xdr:rowOff>99176</xdr:rowOff>
    </xdr:from>
    <xdr:to>
      <xdr:col>6</xdr:col>
      <xdr:colOff>112030</xdr:colOff>
      <xdr:row>20</xdr:row>
      <xdr:rowOff>995</xdr:rowOff>
    </xdr:to>
    <xdr:sp macro="" textlink="">
      <xdr:nvSpPr>
        <xdr:cNvPr id="17" name="等腰三角形 16">
          <a:extLst>
            <a:ext uri="{FF2B5EF4-FFF2-40B4-BE49-F238E27FC236}">
              <a16:creationId xmlns:a16="http://schemas.microsoft.com/office/drawing/2014/main" id="{00000000-0008-0000-0100-000011000000}"/>
            </a:ext>
          </a:extLst>
        </xdr:cNvPr>
        <xdr:cNvSpPr/>
      </xdr:nvSpPr>
      <xdr:spPr>
        <a:xfrm rot="10800000">
          <a:off x="3738334" y="4690226"/>
          <a:ext cx="231321" cy="111369"/>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1</xdr:col>
      <xdr:colOff>565288</xdr:colOff>
      <xdr:row>19</xdr:row>
      <xdr:rowOff>95024</xdr:rowOff>
    </xdr:from>
    <xdr:to>
      <xdr:col>2</xdr:col>
      <xdr:colOff>110809</xdr:colOff>
      <xdr:row>19</xdr:row>
      <xdr:rowOff>209324</xdr:rowOff>
    </xdr:to>
    <xdr:sp macro="" textlink="">
      <xdr:nvSpPr>
        <xdr:cNvPr id="18" name="等腰三角形 17">
          <a:extLst>
            <a:ext uri="{FF2B5EF4-FFF2-40B4-BE49-F238E27FC236}">
              <a16:creationId xmlns:a16="http://schemas.microsoft.com/office/drawing/2014/main" id="{00000000-0008-0000-0100-000012000000}"/>
            </a:ext>
          </a:extLst>
        </xdr:cNvPr>
        <xdr:cNvSpPr/>
      </xdr:nvSpPr>
      <xdr:spPr>
        <a:xfrm rot="10800000">
          <a:off x="993913" y="4686074"/>
          <a:ext cx="231321" cy="11430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1</xdr:col>
      <xdr:colOff>567486</xdr:colOff>
      <xdr:row>23</xdr:row>
      <xdr:rowOff>104549</xdr:rowOff>
    </xdr:from>
    <xdr:to>
      <xdr:col>2</xdr:col>
      <xdr:colOff>113007</xdr:colOff>
      <xdr:row>23</xdr:row>
      <xdr:rowOff>218849</xdr:rowOff>
    </xdr:to>
    <xdr:sp macro="" textlink="">
      <xdr:nvSpPr>
        <xdr:cNvPr id="19" name="等腰三角形 18">
          <a:extLst>
            <a:ext uri="{FF2B5EF4-FFF2-40B4-BE49-F238E27FC236}">
              <a16:creationId xmlns:a16="http://schemas.microsoft.com/office/drawing/2014/main" id="{00000000-0008-0000-0100-000013000000}"/>
            </a:ext>
          </a:extLst>
        </xdr:cNvPr>
        <xdr:cNvSpPr/>
      </xdr:nvSpPr>
      <xdr:spPr>
        <a:xfrm rot="10800000">
          <a:off x="996111" y="5524274"/>
          <a:ext cx="231321" cy="11430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8</xdr:col>
      <xdr:colOff>564801</xdr:colOff>
      <xdr:row>25</xdr:row>
      <xdr:rowOff>138373</xdr:rowOff>
    </xdr:from>
    <xdr:to>
      <xdr:col>9</xdr:col>
      <xdr:colOff>110322</xdr:colOff>
      <xdr:row>26</xdr:row>
      <xdr:rowOff>3558</xdr:rowOff>
    </xdr:to>
    <xdr:sp macro="" textlink="">
      <xdr:nvSpPr>
        <xdr:cNvPr id="20" name="等腰三角形 19">
          <a:extLst>
            <a:ext uri="{FF2B5EF4-FFF2-40B4-BE49-F238E27FC236}">
              <a16:creationId xmlns:a16="http://schemas.microsoft.com/office/drawing/2014/main" id="{00000000-0008-0000-0100-000014000000}"/>
            </a:ext>
          </a:extLst>
        </xdr:cNvPr>
        <xdr:cNvSpPr/>
      </xdr:nvSpPr>
      <xdr:spPr>
        <a:xfrm rot="10800000">
          <a:off x="5794026" y="5977198"/>
          <a:ext cx="231321" cy="112835"/>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7</xdr:col>
      <xdr:colOff>10658</xdr:colOff>
      <xdr:row>26</xdr:row>
      <xdr:rowOff>96611</xdr:rowOff>
    </xdr:from>
    <xdr:to>
      <xdr:col>7</xdr:col>
      <xdr:colOff>124958</xdr:colOff>
      <xdr:row>27</xdr:row>
      <xdr:rowOff>118382</xdr:rowOff>
    </xdr:to>
    <xdr:sp macro="" textlink="">
      <xdr:nvSpPr>
        <xdr:cNvPr id="21" name="等腰三角形 20">
          <a:extLst>
            <a:ext uri="{FF2B5EF4-FFF2-40B4-BE49-F238E27FC236}">
              <a16:creationId xmlns:a16="http://schemas.microsoft.com/office/drawing/2014/main" id="{00000000-0008-0000-0100-000015000000}"/>
            </a:ext>
          </a:extLst>
        </xdr:cNvPr>
        <xdr:cNvSpPr/>
      </xdr:nvSpPr>
      <xdr:spPr>
        <a:xfrm rot="16200000">
          <a:off x="4495572" y="6241597"/>
          <a:ext cx="231321" cy="11430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4</xdr:col>
      <xdr:colOff>4307</xdr:colOff>
      <xdr:row>24</xdr:row>
      <xdr:rowOff>90261</xdr:rowOff>
    </xdr:from>
    <xdr:to>
      <xdr:col>4</xdr:col>
      <xdr:colOff>118607</xdr:colOff>
      <xdr:row>25</xdr:row>
      <xdr:rowOff>119969</xdr:rowOff>
    </xdr:to>
    <xdr:sp macro="" textlink="">
      <xdr:nvSpPr>
        <xdr:cNvPr id="22" name="等腰三角形 21">
          <a:extLst>
            <a:ext uri="{FF2B5EF4-FFF2-40B4-BE49-F238E27FC236}">
              <a16:creationId xmlns:a16="http://schemas.microsoft.com/office/drawing/2014/main" id="{00000000-0008-0000-0100-000016000000}"/>
            </a:ext>
          </a:extLst>
        </xdr:cNvPr>
        <xdr:cNvSpPr/>
      </xdr:nvSpPr>
      <xdr:spPr>
        <a:xfrm rot="16200000">
          <a:off x="2432615" y="5786778"/>
          <a:ext cx="229733" cy="11430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7</xdr:col>
      <xdr:colOff>261938</xdr:colOff>
      <xdr:row>18</xdr:row>
      <xdr:rowOff>6350</xdr:rowOff>
    </xdr:from>
    <xdr:to>
      <xdr:col>7</xdr:col>
      <xdr:colOff>266700</xdr:colOff>
      <xdr:row>25</xdr:row>
      <xdr:rowOff>180975</xdr:rowOff>
    </xdr:to>
    <xdr:cxnSp macro="">
      <xdr:nvCxnSpPr>
        <xdr:cNvPr id="23" name="直線接點 22">
          <a:extLst>
            <a:ext uri="{FF2B5EF4-FFF2-40B4-BE49-F238E27FC236}">
              <a16:creationId xmlns:a16="http://schemas.microsoft.com/office/drawing/2014/main" id="{00000000-0008-0000-0100-000017000000}"/>
            </a:ext>
          </a:extLst>
        </xdr:cNvPr>
        <xdr:cNvCxnSpPr/>
      </xdr:nvCxnSpPr>
      <xdr:spPr>
        <a:xfrm flipH="1">
          <a:off x="4805363" y="4387850"/>
          <a:ext cx="4762" cy="16319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14654</xdr:colOff>
      <xdr:row>25</xdr:row>
      <xdr:rowOff>184150</xdr:rowOff>
    </xdr:from>
    <xdr:to>
      <xdr:col>7</xdr:col>
      <xdr:colOff>266700</xdr:colOff>
      <xdr:row>25</xdr:row>
      <xdr:rowOff>190500</xdr:rowOff>
    </xdr:to>
    <xdr:cxnSp macro="">
      <xdr:nvCxnSpPr>
        <xdr:cNvPr id="24" name="直線接點 23">
          <a:extLst>
            <a:ext uri="{FF2B5EF4-FFF2-40B4-BE49-F238E27FC236}">
              <a16:creationId xmlns:a16="http://schemas.microsoft.com/office/drawing/2014/main" id="{00000000-0008-0000-0100-000018000000}"/>
            </a:ext>
          </a:extLst>
        </xdr:cNvPr>
        <xdr:cNvCxnSpPr/>
      </xdr:nvCxnSpPr>
      <xdr:spPr>
        <a:xfrm flipV="1">
          <a:off x="4558079" y="6022975"/>
          <a:ext cx="252046" cy="6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151805</xdr:colOff>
      <xdr:row>18</xdr:row>
      <xdr:rowOff>9299</xdr:rowOff>
    </xdr:from>
    <xdr:to>
      <xdr:col>7</xdr:col>
      <xdr:colOff>383126</xdr:colOff>
      <xdr:row>18</xdr:row>
      <xdr:rowOff>120668</xdr:rowOff>
    </xdr:to>
    <xdr:sp macro="" textlink="">
      <xdr:nvSpPr>
        <xdr:cNvPr id="25" name="等腰三角形 24">
          <a:extLst>
            <a:ext uri="{FF2B5EF4-FFF2-40B4-BE49-F238E27FC236}">
              <a16:creationId xmlns:a16="http://schemas.microsoft.com/office/drawing/2014/main" id="{00000000-0008-0000-0100-000019000000}"/>
            </a:ext>
          </a:extLst>
        </xdr:cNvPr>
        <xdr:cNvSpPr/>
      </xdr:nvSpPr>
      <xdr:spPr>
        <a:xfrm>
          <a:off x="4695230" y="4390799"/>
          <a:ext cx="231321" cy="111369"/>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10</xdr:col>
      <xdr:colOff>1842331</xdr:colOff>
      <xdr:row>12</xdr:row>
      <xdr:rowOff>86900</xdr:rowOff>
    </xdr:from>
    <xdr:to>
      <xdr:col>11</xdr:col>
      <xdr:colOff>4762</xdr:colOff>
      <xdr:row>13</xdr:row>
      <xdr:rowOff>108672</xdr:rowOff>
    </xdr:to>
    <xdr:sp macro="" textlink="">
      <xdr:nvSpPr>
        <xdr:cNvPr id="26" name="等腰三角形 25">
          <a:extLst>
            <a:ext uri="{FF2B5EF4-FFF2-40B4-BE49-F238E27FC236}">
              <a16:creationId xmlns:a16="http://schemas.microsoft.com/office/drawing/2014/main" id="{00000000-0008-0000-0100-000004000000}"/>
            </a:ext>
          </a:extLst>
        </xdr:cNvPr>
        <xdr:cNvSpPr/>
      </xdr:nvSpPr>
      <xdr:spPr>
        <a:xfrm rot="5239388">
          <a:off x="8374902" y="3132907"/>
          <a:ext cx="230131" cy="115056"/>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47"/>
  <sheetViews>
    <sheetView showGridLines="0" tabSelected="1" workbookViewId="0">
      <selection sqref="A1:H1"/>
    </sheetView>
  </sheetViews>
  <sheetFormatPr defaultColWidth="9" defaultRowHeight="15.75"/>
  <cols>
    <col min="1" max="12" width="9" style="241"/>
    <col min="13" max="13" width="12.625" style="241" bestFit="1" customWidth="1"/>
    <col min="14" max="16384" width="9" style="241"/>
  </cols>
  <sheetData>
    <row r="1" spans="1:12" ht="33" customHeight="1">
      <c r="A1" s="347" t="s">
        <v>785</v>
      </c>
      <c r="B1" s="348"/>
      <c r="C1" s="348"/>
      <c r="D1" s="348"/>
      <c r="E1" s="348"/>
      <c r="F1" s="348"/>
      <c r="G1" s="348"/>
      <c r="H1" s="348"/>
      <c r="I1" s="244"/>
      <c r="J1" s="244"/>
      <c r="K1" s="244"/>
      <c r="L1" s="244"/>
    </row>
    <row r="2" spans="1:12" ht="20.100000000000001" customHeight="1">
      <c r="A2" s="346" t="s">
        <v>718</v>
      </c>
      <c r="B2" s="346"/>
      <c r="C2" s="346"/>
      <c r="D2" s="346"/>
      <c r="E2" s="332"/>
      <c r="F2" s="332"/>
      <c r="G2" s="332"/>
      <c r="H2" s="332"/>
      <c r="I2" s="244"/>
      <c r="J2" s="244"/>
      <c r="K2" s="244"/>
      <c r="L2" s="244"/>
    </row>
    <row r="3" spans="1:12" ht="20.100000000000001" customHeight="1">
      <c r="A3" s="335" t="s">
        <v>781</v>
      </c>
      <c r="B3" s="333"/>
      <c r="C3" s="333"/>
      <c r="D3" s="333"/>
      <c r="E3" s="332"/>
      <c r="F3" s="332"/>
      <c r="G3" s="332"/>
      <c r="H3" s="332"/>
      <c r="I3" s="244"/>
      <c r="J3" s="244"/>
      <c r="K3" s="244"/>
      <c r="L3" s="244"/>
    </row>
    <row r="4" spans="1:12" ht="20.100000000000001" customHeight="1">
      <c r="A4" s="344" t="s">
        <v>779</v>
      </c>
      <c r="B4" s="344"/>
      <c r="C4" s="344"/>
      <c r="D4" s="344"/>
      <c r="E4" s="344"/>
      <c r="F4" s="344"/>
      <c r="G4" s="246"/>
      <c r="H4" s="246"/>
      <c r="I4" s="245"/>
      <c r="J4" s="245"/>
      <c r="K4" s="245"/>
      <c r="L4" s="245"/>
    </row>
    <row r="5" spans="1:12" ht="20.100000000000001" customHeight="1">
      <c r="A5" s="344" t="s">
        <v>780</v>
      </c>
      <c r="B5" s="344"/>
      <c r="C5" s="344"/>
      <c r="D5" s="344"/>
      <c r="E5" s="344"/>
      <c r="F5" s="344"/>
      <c r="G5" s="246"/>
      <c r="H5" s="246"/>
      <c r="I5" s="245"/>
      <c r="J5" s="281"/>
      <c r="K5" s="245"/>
      <c r="L5" s="245"/>
    </row>
    <row r="6" spans="1:12" ht="20.100000000000001" customHeight="1">
      <c r="A6" s="349" t="s">
        <v>784</v>
      </c>
      <c r="B6" s="349"/>
      <c r="C6" s="349"/>
      <c r="D6" s="349"/>
      <c r="E6" s="349"/>
      <c r="F6" s="349"/>
      <c r="G6" s="246"/>
      <c r="H6" s="246"/>
      <c r="I6" s="245"/>
      <c r="J6" s="281"/>
      <c r="K6" s="245"/>
      <c r="L6" s="245"/>
    </row>
    <row r="7" spans="1:12" ht="20.100000000000001" customHeight="1">
      <c r="A7" s="335" t="s">
        <v>782</v>
      </c>
      <c r="B7" s="246"/>
      <c r="C7" s="246"/>
      <c r="D7" s="246"/>
      <c r="E7" s="246"/>
      <c r="F7" s="246"/>
      <c r="G7" s="246"/>
      <c r="H7" s="246"/>
      <c r="I7" s="245"/>
      <c r="J7" s="281"/>
      <c r="K7" s="245"/>
      <c r="L7" s="245"/>
    </row>
    <row r="8" spans="1:12" ht="20.100000000000001" customHeight="1">
      <c r="A8" s="344" t="s">
        <v>719</v>
      </c>
      <c r="B8" s="344"/>
      <c r="C8" s="344"/>
      <c r="D8" s="344"/>
      <c r="E8" s="344"/>
      <c r="F8" s="246"/>
      <c r="G8" s="246"/>
      <c r="H8" s="246"/>
      <c r="I8" s="245"/>
      <c r="J8" s="245"/>
      <c r="K8" s="245"/>
      <c r="L8" s="245"/>
    </row>
    <row r="9" spans="1:12" ht="20.100000000000001" customHeight="1">
      <c r="A9" s="344" t="s">
        <v>786</v>
      </c>
      <c r="B9" s="344"/>
      <c r="C9" s="344"/>
      <c r="D9" s="344"/>
      <c r="E9" s="344"/>
      <c r="F9" s="246"/>
      <c r="G9" s="246"/>
      <c r="H9" s="246"/>
      <c r="I9" s="245"/>
      <c r="J9" s="245"/>
      <c r="K9" s="245"/>
      <c r="L9" s="245"/>
    </row>
    <row r="10" spans="1:12" ht="20.100000000000001" customHeight="1">
      <c r="A10" s="344" t="s">
        <v>720</v>
      </c>
      <c r="B10" s="344"/>
      <c r="C10" s="344"/>
      <c r="D10" s="344"/>
      <c r="E10" s="344"/>
      <c r="F10" s="246"/>
      <c r="G10" s="246"/>
      <c r="H10" s="246"/>
      <c r="I10" s="247"/>
      <c r="J10" s="247"/>
      <c r="K10" s="247"/>
      <c r="L10" s="247"/>
    </row>
    <row r="11" spans="1:12" ht="20.100000000000001" customHeight="1">
      <c r="A11" s="345" t="s">
        <v>563</v>
      </c>
      <c r="B11" s="345"/>
      <c r="C11" s="345"/>
      <c r="D11" s="345"/>
      <c r="E11" s="345"/>
      <c r="F11" s="345"/>
      <c r="G11" s="345"/>
      <c r="H11" s="246"/>
      <c r="I11" s="247"/>
      <c r="J11" s="247"/>
      <c r="K11" s="247"/>
      <c r="L11" s="247"/>
    </row>
    <row r="12" spans="1:12" ht="20.100000000000001" customHeight="1">
      <c r="A12" s="344" t="s">
        <v>564</v>
      </c>
      <c r="B12" s="344"/>
      <c r="C12" s="344"/>
      <c r="D12" s="344"/>
      <c r="E12" s="344"/>
      <c r="F12" s="344"/>
      <c r="G12" s="246"/>
      <c r="H12" s="246"/>
      <c r="I12" s="247"/>
      <c r="J12" s="247"/>
      <c r="K12" s="247"/>
      <c r="L12" s="247"/>
    </row>
    <row r="13" spans="1:12" ht="20.100000000000001" customHeight="1">
      <c r="A13" s="344" t="s">
        <v>565</v>
      </c>
      <c r="B13" s="344"/>
      <c r="C13" s="344"/>
      <c r="D13" s="344"/>
      <c r="E13" s="344"/>
      <c r="F13" s="344"/>
      <c r="G13" s="246"/>
      <c r="H13" s="246"/>
      <c r="I13" s="247"/>
      <c r="J13" s="247"/>
      <c r="K13" s="247"/>
      <c r="L13" s="247"/>
    </row>
    <row r="14" spans="1:12" ht="20.100000000000001" customHeight="1">
      <c r="A14" s="344" t="s">
        <v>721</v>
      </c>
      <c r="B14" s="344"/>
      <c r="C14" s="344"/>
      <c r="D14" s="344"/>
      <c r="E14" s="344"/>
      <c r="F14" s="344"/>
      <c r="G14" s="246"/>
      <c r="H14" s="246"/>
      <c r="I14" s="247"/>
      <c r="J14" s="247"/>
      <c r="K14" s="247"/>
      <c r="L14" s="247"/>
    </row>
    <row r="15" spans="1:12" ht="20.100000000000001" customHeight="1">
      <c r="A15" s="344" t="s">
        <v>566</v>
      </c>
      <c r="B15" s="344"/>
      <c r="C15" s="344"/>
      <c r="D15" s="344"/>
      <c r="E15" s="344"/>
      <c r="F15" s="344"/>
      <c r="G15" s="246"/>
      <c r="H15" s="246"/>
      <c r="I15" s="247"/>
      <c r="J15" s="247"/>
      <c r="K15" s="247"/>
      <c r="L15" s="247"/>
    </row>
    <row r="16" spans="1:12" ht="20.100000000000001" customHeight="1">
      <c r="A16" s="344" t="s">
        <v>567</v>
      </c>
      <c r="B16" s="344"/>
      <c r="C16" s="344"/>
      <c r="D16" s="344"/>
      <c r="E16" s="344"/>
      <c r="F16" s="344"/>
      <c r="G16" s="246"/>
      <c r="H16" s="246"/>
      <c r="I16" s="247"/>
      <c r="J16" s="247"/>
      <c r="K16" s="247"/>
      <c r="L16" s="247"/>
    </row>
    <row r="17" spans="1:15" ht="20.100000000000001" customHeight="1">
      <c r="A17" s="344" t="s">
        <v>568</v>
      </c>
      <c r="B17" s="344"/>
      <c r="C17" s="344"/>
      <c r="D17" s="344"/>
      <c r="E17" s="344"/>
      <c r="F17" s="344"/>
      <c r="G17" s="246"/>
      <c r="H17" s="246"/>
      <c r="I17" s="247"/>
      <c r="J17" s="247"/>
      <c r="K17" s="247"/>
      <c r="L17" s="247"/>
    </row>
    <row r="18" spans="1:15" ht="20.100000000000001" customHeight="1">
      <c r="A18" s="344" t="s">
        <v>569</v>
      </c>
      <c r="B18" s="344"/>
      <c r="C18" s="344"/>
      <c r="D18" s="344"/>
      <c r="E18" s="344"/>
      <c r="F18" s="344"/>
      <c r="G18" s="246"/>
      <c r="H18" s="246"/>
      <c r="I18" s="247"/>
      <c r="J18" s="247"/>
      <c r="K18" s="247"/>
      <c r="L18" s="247"/>
      <c r="O18" s="243"/>
    </row>
    <row r="19" spans="1:15" ht="20.100000000000001" customHeight="1">
      <c r="A19" s="344" t="s">
        <v>570</v>
      </c>
      <c r="B19" s="344"/>
      <c r="C19" s="344"/>
      <c r="D19" s="344"/>
      <c r="E19" s="344"/>
      <c r="F19" s="344"/>
      <c r="G19" s="246"/>
      <c r="H19" s="246"/>
      <c r="I19" s="247"/>
      <c r="J19" s="247"/>
      <c r="K19" s="247"/>
      <c r="L19" s="247"/>
    </row>
    <row r="20" spans="1:15" ht="20.100000000000001" customHeight="1">
      <c r="A20" s="344" t="s">
        <v>571</v>
      </c>
      <c r="B20" s="344"/>
      <c r="C20" s="344"/>
      <c r="D20" s="344"/>
      <c r="E20" s="344"/>
      <c r="F20" s="344"/>
      <c r="G20" s="246"/>
      <c r="H20" s="246"/>
      <c r="I20" s="247"/>
      <c r="J20" s="247"/>
      <c r="K20" s="247"/>
      <c r="L20" s="247"/>
    </row>
    <row r="21" spans="1:15" ht="20.100000000000001" customHeight="1">
      <c r="A21" s="344" t="s">
        <v>572</v>
      </c>
      <c r="B21" s="344"/>
      <c r="C21" s="344"/>
      <c r="D21" s="344"/>
      <c r="E21" s="344"/>
      <c r="F21" s="344"/>
      <c r="G21" s="246"/>
      <c r="H21" s="246"/>
      <c r="I21" s="247"/>
      <c r="J21" s="247"/>
      <c r="K21" s="247"/>
      <c r="L21" s="247"/>
    </row>
    <row r="22" spans="1:15" ht="20.100000000000001" customHeight="1">
      <c r="A22" s="344" t="s">
        <v>722</v>
      </c>
      <c r="B22" s="344"/>
      <c r="C22" s="344"/>
      <c r="D22" s="344"/>
      <c r="E22" s="344"/>
      <c r="F22" s="344"/>
      <c r="G22" s="246"/>
      <c r="H22" s="246"/>
      <c r="I22" s="247"/>
      <c r="J22" s="247"/>
      <c r="K22" s="247"/>
      <c r="L22" s="247"/>
    </row>
    <row r="23" spans="1:15" ht="20.100000000000001" customHeight="1">
      <c r="A23" s="344" t="s">
        <v>573</v>
      </c>
      <c r="B23" s="344"/>
      <c r="C23" s="344"/>
      <c r="D23" s="344"/>
      <c r="E23" s="344"/>
      <c r="F23" s="344"/>
      <c r="G23" s="246"/>
      <c r="H23" s="246"/>
      <c r="I23" s="247"/>
      <c r="J23" s="247"/>
      <c r="K23" s="247"/>
      <c r="L23" s="247"/>
    </row>
    <row r="24" spans="1:15" ht="20.100000000000001" customHeight="1">
      <c r="A24" s="344" t="s">
        <v>574</v>
      </c>
      <c r="B24" s="344"/>
      <c r="C24" s="344"/>
      <c r="D24" s="344"/>
      <c r="E24" s="344"/>
      <c r="F24" s="344"/>
      <c r="G24" s="246"/>
      <c r="H24" s="246"/>
      <c r="I24" s="247"/>
      <c r="J24" s="247"/>
      <c r="K24" s="247"/>
      <c r="L24" s="247"/>
    </row>
    <row r="25" spans="1:15" ht="20.100000000000001" customHeight="1">
      <c r="A25" s="344" t="s">
        <v>575</v>
      </c>
      <c r="B25" s="344"/>
      <c r="C25" s="344"/>
      <c r="D25" s="344"/>
      <c r="E25" s="344"/>
      <c r="F25" s="344"/>
      <c r="G25" s="246"/>
      <c r="H25" s="246"/>
      <c r="I25" s="247"/>
      <c r="J25" s="247"/>
      <c r="K25" s="247"/>
      <c r="L25" s="247"/>
    </row>
    <row r="26" spans="1:15" ht="20.100000000000001" customHeight="1">
      <c r="A26" s="344" t="s">
        <v>576</v>
      </c>
      <c r="B26" s="344"/>
      <c r="C26" s="344"/>
      <c r="D26" s="344"/>
      <c r="E26" s="344"/>
      <c r="F26" s="344"/>
      <c r="G26" s="246"/>
      <c r="H26" s="246"/>
      <c r="I26" s="247"/>
      <c r="J26" s="247"/>
      <c r="K26" s="247"/>
      <c r="L26" s="247"/>
    </row>
    <row r="27" spans="1:15" ht="20.100000000000001" customHeight="1">
      <c r="A27" s="344" t="s">
        <v>577</v>
      </c>
      <c r="B27" s="344"/>
      <c r="C27" s="344"/>
      <c r="D27" s="344"/>
      <c r="E27" s="344"/>
      <c r="F27" s="344"/>
      <c r="G27" s="246"/>
      <c r="H27" s="246"/>
      <c r="I27" s="247"/>
      <c r="J27" s="247"/>
      <c r="K27" s="247"/>
      <c r="L27" s="247"/>
    </row>
    <row r="28" spans="1:15" ht="20.100000000000001" customHeight="1">
      <c r="A28" s="344" t="s">
        <v>578</v>
      </c>
      <c r="B28" s="344"/>
      <c r="C28" s="344"/>
      <c r="D28" s="344"/>
      <c r="E28" s="344"/>
      <c r="F28" s="344"/>
      <c r="G28" s="246"/>
      <c r="H28" s="246"/>
      <c r="I28" s="247"/>
      <c r="J28" s="247"/>
      <c r="K28" s="247"/>
      <c r="L28" s="247"/>
    </row>
    <row r="29" spans="1:15" ht="20.100000000000001" customHeight="1">
      <c r="A29" s="344" t="s">
        <v>579</v>
      </c>
      <c r="B29" s="344"/>
      <c r="C29" s="344"/>
      <c r="D29" s="344"/>
      <c r="E29" s="344"/>
      <c r="F29" s="344"/>
      <c r="G29" s="246"/>
      <c r="H29" s="246"/>
      <c r="I29" s="247"/>
      <c r="J29" s="247"/>
      <c r="K29" s="247"/>
      <c r="L29" s="247"/>
    </row>
    <row r="30" spans="1:15" ht="20.100000000000001" customHeight="1">
      <c r="A30" s="344" t="s">
        <v>580</v>
      </c>
      <c r="B30" s="344"/>
      <c r="C30" s="344"/>
      <c r="D30" s="344"/>
      <c r="E30" s="344"/>
      <c r="F30" s="344"/>
      <c r="G30" s="246"/>
      <c r="H30" s="246"/>
      <c r="I30" s="247"/>
      <c r="J30" s="247"/>
      <c r="K30" s="247"/>
      <c r="L30" s="247"/>
    </row>
    <row r="31" spans="1:15" ht="20.100000000000001" customHeight="1">
      <c r="A31" s="344" t="s">
        <v>581</v>
      </c>
      <c r="B31" s="344"/>
      <c r="C31" s="344"/>
      <c r="D31" s="344"/>
      <c r="E31" s="344"/>
      <c r="F31" s="344"/>
      <c r="G31" s="246"/>
      <c r="H31" s="246"/>
      <c r="I31" s="248"/>
      <c r="J31" s="247"/>
      <c r="K31" s="247"/>
      <c r="L31" s="247"/>
    </row>
    <row r="32" spans="1:15" ht="20.100000000000001" customHeight="1">
      <c r="A32" s="344" t="s">
        <v>582</v>
      </c>
      <c r="B32" s="344"/>
      <c r="C32" s="344"/>
      <c r="D32" s="344"/>
      <c r="E32" s="344"/>
      <c r="F32" s="344"/>
      <c r="G32" s="246"/>
      <c r="H32" s="246"/>
      <c r="I32" s="247"/>
      <c r="J32" s="247"/>
      <c r="K32" s="247"/>
      <c r="L32" s="247"/>
    </row>
    <row r="33" spans="1:12" ht="20.100000000000001" customHeight="1">
      <c r="A33" s="344" t="s">
        <v>583</v>
      </c>
      <c r="B33" s="344"/>
      <c r="C33" s="344"/>
      <c r="D33" s="344"/>
      <c r="E33" s="344"/>
      <c r="F33" s="344"/>
      <c r="G33" s="246"/>
      <c r="H33" s="246"/>
      <c r="I33" s="247"/>
      <c r="J33" s="247"/>
      <c r="K33" s="247"/>
      <c r="L33" s="247"/>
    </row>
    <row r="34" spans="1:12" ht="20.100000000000001" customHeight="1">
      <c r="A34" s="344" t="s">
        <v>584</v>
      </c>
      <c r="B34" s="344"/>
      <c r="C34" s="344"/>
      <c r="D34" s="344"/>
      <c r="E34" s="344"/>
      <c r="F34" s="344"/>
      <c r="G34" s="246"/>
      <c r="H34" s="246"/>
      <c r="I34" s="247"/>
      <c r="J34" s="247"/>
      <c r="K34" s="247"/>
      <c r="L34" s="247"/>
    </row>
    <row r="35" spans="1:12" ht="20.100000000000001" customHeight="1">
      <c r="A35" s="335" t="s">
        <v>783</v>
      </c>
      <c r="B35" s="246"/>
      <c r="C35" s="246"/>
      <c r="D35" s="246"/>
      <c r="E35" s="246"/>
      <c r="F35" s="246"/>
      <c r="G35" s="246"/>
      <c r="H35" s="246"/>
      <c r="I35" s="247"/>
      <c r="J35" s="247"/>
      <c r="K35" s="247"/>
      <c r="L35" s="247"/>
    </row>
    <row r="36" spans="1:12" ht="20.100000000000001" customHeight="1">
      <c r="A36" s="344" t="s">
        <v>767</v>
      </c>
      <c r="B36" s="344"/>
      <c r="C36" s="344"/>
      <c r="D36" s="344"/>
      <c r="E36" s="344"/>
      <c r="F36" s="344"/>
      <c r="G36" s="344"/>
      <c r="H36" s="344"/>
      <c r="I36" s="247"/>
      <c r="J36" s="247"/>
      <c r="K36" s="247"/>
      <c r="L36" s="247"/>
    </row>
    <row r="37" spans="1:12" ht="20.100000000000001" customHeight="1">
      <c r="A37" s="344" t="s">
        <v>768</v>
      </c>
      <c r="B37" s="344"/>
      <c r="C37" s="344"/>
      <c r="D37" s="344"/>
      <c r="E37" s="344"/>
      <c r="F37" s="344"/>
      <c r="G37" s="344"/>
      <c r="H37" s="344"/>
      <c r="I37" s="247"/>
      <c r="J37" s="247"/>
      <c r="K37" s="247"/>
      <c r="L37" s="247"/>
    </row>
    <row r="38" spans="1:12" ht="20.100000000000001" customHeight="1">
      <c r="A38" s="344" t="s">
        <v>769</v>
      </c>
      <c r="B38" s="344"/>
      <c r="C38" s="344"/>
      <c r="D38" s="344"/>
      <c r="E38" s="344"/>
      <c r="F38" s="344"/>
      <c r="G38" s="344"/>
      <c r="H38" s="344"/>
      <c r="I38" s="247"/>
      <c r="J38" s="247"/>
      <c r="K38" s="247"/>
      <c r="L38" s="247"/>
    </row>
    <row r="39" spans="1:12" ht="20.100000000000001" customHeight="1">
      <c r="A39" s="344" t="s">
        <v>770</v>
      </c>
      <c r="B39" s="344"/>
      <c r="C39" s="344"/>
      <c r="D39" s="344"/>
      <c r="E39" s="344"/>
      <c r="F39" s="344"/>
      <c r="G39" s="344"/>
      <c r="H39" s="344"/>
      <c r="I39" s="247"/>
      <c r="J39" s="247"/>
      <c r="K39" s="247"/>
      <c r="L39" s="247"/>
    </row>
    <row r="40" spans="1:12" ht="20.100000000000001" customHeight="1">
      <c r="A40" s="344" t="s">
        <v>771</v>
      </c>
      <c r="B40" s="344"/>
      <c r="C40" s="344"/>
      <c r="D40" s="344"/>
      <c r="E40" s="344"/>
      <c r="F40" s="344"/>
      <c r="G40" s="344"/>
      <c r="H40" s="344"/>
      <c r="I40" s="247"/>
      <c r="J40" s="247"/>
      <c r="K40" s="247"/>
      <c r="L40" s="247"/>
    </row>
    <row r="41" spans="1:12" ht="20.100000000000001" customHeight="1">
      <c r="A41" s="344" t="s">
        <v>772</v>
      </c>
      <c r="B41" s="344"/>
      <c r="C41" s="344"/>
      <c r="D41" s="344"/>
      <c r="E41" s="344"/>
      <c r="F41" s="344"/>
      <c r="G41" s="344"/>
      <c r="H41" s="344"/>
      <c r="I41" s="247"/>
      <c r="J41" s="247"/>
      <c r="K41" s="247"/>
      <c r="L41" s="247"/>
    </row>
    <row r="42" spans="1:12" ht="20.100000000000001" customHeight="1">
      <c r="A42" s="344" t="s">
        <v>773</v>
      </c>
      <c r="B42" s="344"/>
      <c r="C42" s="344"/>
      <c r="D42" s="344"/>
      <c r="E42" s="344"/>
      <c r="F42" s="344"/>
      <c r="G42" s="344"/>
      <c r="H42" s="344"/>
      <c r="I42" s="247"/>
      <c r="J42" s="247"/>
      <c r="K42" s="247"/>
      <c r="L42" s="247"/>
    </row>
    <row r="43" spans="1:12" ht="20.100000000000001" customHeight="1">
      <c r="A43" s="344" t="s">
        <v>774</v>
      </c>
      <c r="B43" s="344"/>
      <c r="C43" s="344"/>
      <c r="D43" s="344"/>
      <c r="E43" s="344"/>
      <c r="F43" s="344"/>
      <c r="G43" s="344"/>
      <c r="H43" s="344"/>
      <c r="I43" s="247"/>
      <c r="J43" s="247"/>
      <c r="K43" s="247"/>
      <c r="L43" s="247"/>
    </row>
    <row r="44" spans="1:12" ht="20.100000000000001" customHeight="1">
      <c r="A44" s="344" t="s">
        <v>775</v>
      </c>
      <c r="B44" s="344"/>
      <c r="C44" s="344"/>
      <c r="D44" s="344"/>
      <c r="E44" s="344"/>
      <c r="F44" s="344"/>
      <c r="G44" s="344"/>
      <c r="H44" s="344"/>
      <c r="I44" s="247"/>
      <c r="J44" s="247"/>
      <c r="K44" s="247"/>
      <c r="L44" s="247"/>
    </row>
    <row r="45" spans="1:12" ht="20.100000000000001" customHeight="1">
      <c r="A45" s="344" t="s">
        <v>776</v>
      </c>
      <c r="B45" s="344"/>
      <c r="C45" s="344"/>
      <c r="D45" s="344"/>
      <c r="E45" s="344"/>
      <c r="F45" s="344"/>
      <c r="G45" s="344"/>
      <c r="H45" s="344"/>
      <c r="I45" s="247"/>
      <c r="J45" s="247"/>
      <c r="K45" s="247"/>
      <c r="L45" s="247"/>
    </row>
    <row r="46" spans="1:12" ht="20.100000000000001" customHeight="1">
      <c r="A46" s="344" t="s">
        <v>777</v>
      </c>
      <c r="B46" s="344"/>
      <c r="C46" s="344"/>
      <c r="D46" s="344"/>
      <c r="E46" s="344"/>
      <c r="F46" s="344"/>
      <c r="G46" s="344"/>
      <c r="H46" s="344"/>
      <c r="I46" s="247"/>
      <c r="J46" s="247"/>
      <c r="K46" s="247"/>
      <c r="L46" s="247"/>
    </row>
    <row r="47" spans="1:12" ht="20.100000000000001" customHeight="1">
      <c r="A47" s="344" t="s">
        <v>778</v>
      </c>
      <c r="B47" s="344"/>
      <c r="C47" s="344"/>
      <c r="D47" s="344"/>
      <c r="E47" s="344"/>
      <c r="F47" s="344"/>
      <c r="G47" s="344"/>
      <c r="H47" s="344"/>
      <c r="I47" s="247"/>
      <c r="J47" s="247"/>
      <c r="K47" s="247"/>
      <c r="L47" s="247"/>
    </row>
  </sheetData>
  <mergeCells count="44">
    <mergeCell ref="A2:D2"/>
    <mergeCell ref="A1:H1"/>
    <mergeCell ref="A4:F4"/>
    <mergeCell ref="A5:F5"/>
    <mergeCell ref="A6:F6"/>
    <mergeCell ref="A8:E8"/>
    <mergeCell ref="A9:E9"/>
    <mergeCell ref="A10:E10"/>
    <mergeCell ref="A11:G11"/>
    <mergeCell ref="A12:F12"/>
    <mergeCell ref="A13:F13"/>
    <mergeCell ref="A14:F14"/>
    <mergeCell ref="A15:F15"/>
    <mergeCell ref="A16:F16"/>
    <mergeCell ref="A17:F17"/>
    <mergeCell ref="A18:F18"/>
    <mergeCell ref="A19:F19"/>
    <mergeCell ref="A20:F20"/>
    <mergeCell ref="A21:F21"/>
    <mergeCell ref="A22:F22"/>
    <mergeCell ref="A23:F23"/>
    <mergeCell ref="A24:F24"/>
    <mergeCell ref="A25:F25"/>
    <mergeCell ref="A26:F26"/>
    <mergeCell ref="A27:F27"/>
    <mergeCell ref="A28:F28"/>
    <mergeCell ref="A29:F29"/>
    <mergeCell ref="A30:F30"/>
    <mergeCell ref="A31:F31"/>
    <mergeCell ref="A32:F32"/>
    <mergeCell ref="A33:F33"/>
    <mergeCell ref="A34:F34"/>
    <mergeCell ref="A36:H36"/>
    <mergeCell ref="A37:H37"/>
    <mergeCell ref="A38:H38"/>
    <mergeCell ref="A44:H44"/>
    <mergeCell ref="A45:H45"/>
    <mergeCell ref="A46:H46"/>
    <mergeCell ref="A47:H47"/>
    <mergeCell ref="A39:H39"/>
    <mergeCell ref="A40:H40"/>
    <mergeCell ref="A41:H41"/>
    <mergeCell ref="A42:H42"/>
    <mergeCell ref="A43:H43"/>
  </mergeCells>
  <phoneticPr fontId="2" type="noConversion"/>
  <hyperlinks>
    <hyperlink ref="A4" location="'2-1-1'!Print_Area" display="表2-1-1　近10年地方檢察署新收刑事偵查案件之案件來源"/>
    <hyperlink ref="A5" location="'2-1-21'!Print_Area" display="表2-1-2　近10年地方檢察署新收自動檢舉案件數"/>
    <hyperlink ref="A8" location="'2-1-3'!A1" display="表2-1-3　近5年地方檢察署新收自動檢舉案件主要罪名"/>
    <hyperlink ref="A9" location="'2-1-4'!A1" display="表2-1-4　近6年地方檢察署新收刑事偵查案件數比較"/>
    <hyperlink ref="A10" location="'3-2-3'!A1" display="表3-2-3      111年少年刑事案件裁判結果"/>
    <hyperlink ref="A11" location="'3-2-4'!A1" display="表3-2-4　近10年地方法院（庭）審理終結之少年觸法、虞犯/曝險人數"/>
    <hyperlink ref="A12" location="'3-2-5'!A1" display="表3-2-5　近10年觸法少年交付保護處分之罪名"/>
    <hyperlink ref="A13" location="'3-2-6'!A1" display="表3-2-6　近10年觸法少年交付保護處分之性別與年齡"/>
    <hyperlink ref="A14" location="'3-2-7'!A1" display="表3-2-7　111年觸法少年交付保護處分之年齡與主要罪名"/>
    <hyperlink ref="A15" location="'3-2-8'!A1" display="表3-2-8　近10年觸法少年交付保護處分之教育程度"/>
    <hyperlink ref="A16" location="'3-2-9'!A1" display="表3-2-9　近10年觸法少年交付保護處分之性別與就業情形"/>
    <hyperlink ref="A17" location="'3-2-10'!A1" display="表3-2-10　近10年觸法少年交付保護處分之家庭經濟狀況"/>
    <hyperlink ref="A18" location="'3-2-11'!A1" display="表3-2-11　近10年觸法少年交付保護處分之父母現況"/>
    <hyperlink ref="A19" location="'3-2-12'!A1" display="表3-2-12　近10年觸法少年交付保護處分之父母婚姻狀況"/>
    <hyperlink ref="A20" location="'3-2-13'!A1" display="表3-2-13　近10年少年刑事案件性別與罪名"/>
    <hyperlink ref="A21" location="'3-2-14'!A1" display="表3-2-14　 近10年少年刑事案件年齡"/>
    <hyperlink ref="A22" location="'3-2-15'!A1" display="表3-2-15　111年少年刑事案件之年齡、性別與罪名"/>
    <hyperlink ref="A23" location="'3-2-16'!A1" display="表3-2-16　 近10年少年刑事案件教育程度"/>
    <hyperlink ref="A24" location="'3-2-17'!A1" display="表3-2-17　近10年少年刑事案件之性別與就業情形"/>
    <hyperlink ref="A25" location="'3-2-18'!A1" display="表3-2-18　近10年少年刑事案件家庭經濟狀況"/>
    <hyperlink ref="A26" location="'3-2-19'!A1" display="表3-2-19　近10年少年刑事案件父母現況"/>
    <hyperlink ref="A27" location="'3-2-20'!A1" display="表3-2-20     近10年少年刑事案件父母婚姻狀況"/>
    <hyperlink ref="A28" location="'3-2-21'!A1" display="表3-2-21　近10年曝險少年交付保護處分之性別與行為"/>
    <hyperlink ref="A29" location="'3-2-22'!A1" display="表3-2-22　近10年曝險少年交付保護處分之性別與年齡"/>
    <hyperlink ref="A30" location="'3-2-23'!A1" display="表3-2-23　近10年曝險少年交付保護處分之教育程度"/>
    <hyperlink ref="A31" location="'3-2-24'!A1" display="表3-2-24　近10年曝險少年交付保護處分之性別與就業情形"/>
    <hyperlink ref="A32" location="'3-2-25'!A1" display="表3-2-25　近10年曝險少年交付保護處分之家庭經濟狀況"/>
    <hyperlink ref="A33" location="'3-2-26'!A1" display="表3-2-26　近10年曝險少年交付保護處分之父母現況"/>
    <hyperlink ref="A34" location="'3-2-27'!A1" display="表3-2-27 　近10年曝險少年交付保護處分之父母婚姻狀況"/>
    <hyperlink ref="A36" location="'3-3-1'!A1" display="表 3-3-1　近5年少年觀護所新入所收容/羈押人數與性別"/>
    <hyperlink ref="A37" location="'3-3-2'!A1" display="表 3-3-2　近5年少年觀護所新入所收容/羈押少年之性別與年齡"/>
    <hyperlink ref="A38" location="'3-3-3'!A1" display="表 3-3-3　近5年少年觀護所新入所收容/羈押少年之性別與教育程度"/>
    <hyperlink ref="A39" location="'3-3-4'!A1" display="表 3-3-4　近5年少年觀護所新入所收容/羈押少年之性別與家庭經濟狀況"/>
    <hyperlink ref="A40" location="'3-3-5'!A1" display="表 3-3-5　近5年少年觀護所新入所收容/羈押少年之性別與罪名"/>
    <hyperlink ref="A41" location="'3-3-6'!A1" display="表 3-3-6　近5年少年矯正學校新入校受感化教育學生之性別"/>
    <hyperlink ref="A42" location="'3-3-7'!A1" display="表 3-3-7　近5年少年矯正學校實際出校的感化教育學生之性別"/>
    <hyperlink ref="A43" location="'3-3-8'!A1" display="表 3-3-8　近5年少年矯正學校新入校受感化教育學生之性別與年齡"/>
    <hyperlink ref="A44" location="'3-3-9'!A1" display="表 3-3-9　近5年少年矯正學校新入校受感化教育學生之性別與教育程度"/>
    <hyperlink ref="A45" location="'3-3-10'!A1" display="表 3-3-10　近5年少年矯正學校新入校受感化教育學生之性別與家庭經濟狀況"/>
    <hyperlink ref="A46" location="'3-3-11'!A1" display="表 3-3-11　近5年少年矯正學校新入校受感化教育學生之性別與罪名"/>
    <hyperlink ref="A47" location="'3-3-12'!A1" display="表3-3-12　近5年明陽中學在校少年受刑人之性別"/>
    <hyperlink ref="A2" location="本篇表次對應少年事件程序圖!A1" display="本篇表次對應少年事件程序圖"/>
    <hyperlink ref="A8:D8" location="'3-2-1'!Print_Area" display="表3-2-1    112年少年事件調查收結情形"/>
    <hyperlink ref="A10:D10" location="'3-2-3'!R1C1" display="表3-2-3　112年少年刑事案件裁判結果"/>
    <hyperlink ref="A22:E22" location="'3-2-15'!R1C1" display="表3-2-15　112年少年刑事案件之年齡、性別與罪名"/>
    <hyperlink ref="A4:E4" location="'3-1-1'!A1" display="表3-1-1　近10年少年犯罪嫌疑人數與犯罪人口率"/>
    <hyperlink ref="A5:E5" location="'3-1-2'!A1" display="表3-1-2　近10年少年嫌疑人之主要犯罪類別"/>
    <hyperlink ref="A6:F6" location="'3-1-3'!A1" display="表3-1-3    112年少年輔導委員會之曝險案件處理情形"/>
    <hyperlink ref="A9:E9" location="'3-2-2'!A1" display="表3-2-2　近10年少年保護事件審理終結情形"/>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75"/>
  <sheetViews>
    <sheetView showGridLines="0" zoomScale="60" zoomScaleNormal="60" workbookViewId="0">
      <pane xSplit="1" topLeftCell="B1" activePane="topRight" state="frozen"/>
      <selection activeCell="G17" sqref="G17"/>
      <selection pane="topRight" sqref="A1:U1"/>
    </sheetView>
  </sheetViews>
  <sheetFormatPr defaultColWidth="11" defaultRowHeight="16.5"/>
  <cols>
    <col min="1" max="1" width="27.25" customWidth="1"/>
    <col min="2" max="21" width="8.625" customWidth="1"/>
    <col min="23" max="23" width="11" customWidth="1"/>
    <col min="25" max="25" width="11" customWidth="1"/>
    <col min="27" max="27" width="11" customWidth="1"/>
    <col min="29" max="29" width="11" customWidth="1"/>
    <col min="31" max="31" width="11" customWidth="1"/>
    <col min="33" max="33" width="11" customWidth="1"/>
    <col min="35" max="35" width="11" customWidth="1"/>
    <col min="37" max="37" width="11" customWidth="1"/>
    <col min="39" max="39" width="11" customWidth="1"/>
  </cols>
  <sheetData>
    <row r="1" spans="1:22" ht="24" customHeight="1">
      <c r="A1" s="398" t="s">
        <v>221</v>
      </c>
      <c r="B1" s="398"/>
      <c r="C1" s="398"/>
      <c r="D1" s="398"/>
      <c r="E1" s="398"/>
      <c r="F1" s="398"/>
      <c r="G1" s="398"/>
      <c r="H1" s="398"/>
      <c r="I1" s="398"/>
      <c r="J1" s="398"/>
      <c r="K1" s="398"/>
      <c r="L1" s="398"/>
      <c r="M1" s="398"/>
      <c r="N1" s="398"/>
      <c r="O1" s="398"/>
      <c r="P1" s="398"/>
      <c r="Q1" s="398"/>
      <c r="R1" s="398"/>
      <c r="S1" s="398"/>
      <c r="T1" s="398"/>
      <c r="U1" s="398"/>
      <c r="V1" s="242" t="s">
        <v>548</v>
      </c>
    </row>
    <row r="2" spans="1:22" ht="15.95" customHeight="1">
      <c r="A2" s="16"/>
      <c r="B2" s="395" t="s">
        <v>37</v>
      </c>
      <c r="C2" s="395"/>
      <c r="D2" s="395" t="s">
        <v>38</v>
      </c>
      <c r="E2" s="395"/>
      <c r="F2" s="395" t="s">
        <v>39</v>
      </c>
      <c r="G2" s="395"/>
      <c r="H2" s="395" t="s">
        <v>40</v>
      </c>
      <c r="I2" s="395"/>
      <c r="J2" s="395" t="s">
        <v>41</v>
      </c>
      <c r="K2" s="395"/>
      <c r="L2" s="395" t="s">
        <v>42</v>
      </c>
      <c r="M2" s="395"/>
      <c r="N2" s="395" t="s">
        <v>43</v>
      </c>
      <c r="O2" s="395"/>
      <c r="P2" s="395" t="s">
        <v>77</v>
      </c>
      <c r="Q2" s="395"/>
      <c r="R2" s="395" t="s">
        <v>45</v>
      </c>
      <c r="S2" s="395"/>
      <c r="T2" s="395" t="s">
        <v>619</v>
      </c>
      <c r="U2" s="395"/>
    </row>
    <row r="3" spans="1:22" ht="15" customHeight="1">
      <c r="A3" s="4"/>
      <c r="B3" s="8" t="s">
        <v>76</v>
      </c>
      <c r="C3" s="8" t="s">
        <v>60</v>
      </c>
      <c r="D3" s="8" t="s">
        <v>76</v>
      </c>
      <c r="E3" s="8" t="s">
        <v>60</v>
      </c>
      <c r="F3" s="8" t="s">
        <v>76</v>
      </c>
      <c r="G3" s="8" t="s">
        <v>60</v>
      </c>
      <c r="H3" s="8" t="s">
        <v>76</v>
      </c>
      <c r="I3" s="8" t="s">
        <v>60</v>
      </c>
      <c r="J3" s="8" t="s">
        <v>76</v>
      </c>
      <c r="K3" s="8" t="s">
        <v>60</v>
      </c>
      <c r="L3" s="8" t="s">
        <v>76</v>
      </c>
      <c r="M3" s="8" t="s">
        <v>60</v>
      </c>
      <c r="N3" s="8" t="s">
        <v>76</v>
      </c>
      <c r="O3" s="8" t="s">
        <v>60</v>
      </c>
      <c r="P3" s="8" t="s">
        <v>76</v>
      </c>
      <c r="Q3" s="8" t="s">
        <v>60</v>
      </c>
      <c r="R3" s="17" t="s">
        <v>76</v>
      </c>
      <c r="S3" s="8" t="s">
        <v>60</v>
      </c>
      <c r="T3" s="17" t="s">
        <v>76</v>
      </c>
      <c r="U3" s="8" t="s">
        <v>60</v>
      </c>
    </row>
    <row r="4" spans="1:22" ht="20.100000000000001" customHeight="1">
      <c r="A4" s="24" t="s">
        <v>48</v>
      </c>
      <c r="B4" s="29">
        <f t="shared" ref="B4:U4" si="0">SUM(B5:B72)</f>
        <v>9359</v>
      </c>
      <c r="C4" s="298">
        <f t="shared" si="0"/>
        <v>100.00000000000017</v>
      </c>
      <c r="D4" s="29">
        <f t="shared" si="0"/>
        <v>8568</v>
      </c>
      <c r="E4" s="298">
        <f t="shared" si="0"/>
        <v>99.999999999999957</v>
      </c>
      <c r="F4" s="29">
        <f t="shared" si="0"/>
        <v>8132</v>
      </c>
      <c r="G4" s="298">
        <f t="shared" si="0"/>
        <v>100.00000000000001</v>
      </c>
      <c r="H4" s="29">
        <f t="shared" si="0"/>
        <v>8448</v>
      </c>
      <c r="I4" s="298">
        <f t="shared" si="0"/>
        <v>100.00000000000006</v>
      </c>
      <c r="J4" s="29">
        <f t="shared" si="0"/>
        <v>7944</v>
      </c>
      <c r="K4" s="298">
        <f t="shared" si="0"/>
        <v>100.00000000000003</v>
      </c>
      <c r="L4" s="29">
        <f t="shared" si="0"/>
        <v>7829</v>
      </c>
      <c r="M4" s="298">
        <f t="shared" si="0"/>
        <v>100.00000000000001</v>
      </c>
      <c r="N4" s="29">
        <f t="shared" si="0"/>
        <v>8765</v>
      </c>
      <c r="O4" s="298">
        <f t="shared" si="0"/>
        <v>100.00000000000001</v>
      </c>
      <c r="P4" s="29">
        <f t="shared" si="0"/>
        <v>8121</v>
      </c>
      <c r="Q4" s="298">
        <f t="shared" si="0"/>
        <v>99.999999999999957</v>
      </c>
      <c r="R4" s="29">
        <f t="shared" si="0"/>
        <v>8987</v>
      </c>
      <c r="S4" s="298">
        <f t="shared" si="0"/>
        <v>99.999999999999957</v>
      </c>
      <c r="T4" s="29">
        <f t="shared" si="0"/>
        <v>8951</v>
      </c>
      <c r="U4" s="298">
        <f t="shared" si="0"/>
        <v>99.999999999999972</v>
      </c>
    </row>
    <row r="5" spans="1:22" ht="20.100000000000001" customHeight="1">
      <c r="A5" s="24" t="s">
        <v>222</v>
      </c>
      <c r="B5" s="5">
        <f>2110+239</f>
        <v>2349</v>
      </c>
      <c r="C5" s="97">
        <f t="shared" ref="C5:C36" si="1">IFERROR(B5/B$4*100,"-")</f>
        <v>25.098835345656589</v>
      </c>
      <c r="D5" s="5">
        <f>1829+205</f>
        <v>2034</v>
      </c>
      <c r="E5" s="97">
        <f t="shared" ref="E5:E36" si="2">IFERROR(D5/D$4*100,"-")</f>
        <v>23.739495798319325</v>
      </c>
      <c r="F5" s="5">
        <f>1801+203</f>
        <v>2004</v>
      </c>
      <c r="G5" s="97">
        <f t="shared" ref="G5:G36" si="3">IFERROR(F5/F$4*100,"-")</f>
        <v>24.643384161337924</v>
      </c>
      <c r="H5" s="5">
        <f>1893+218</f>
        <v>2111</v>
      </c>
      <c r="I5" s="97">
        <f t="shared" ref="I5:I36" si="4">IFERROR(H5/H$4*100,"-")</f>
        <v>24.988162878787879</v>
      </c>
      <c r="J5" s="5">
        <f>1893+193</f>
        <v>2086</v>
      </c>
      <c r="K5" s="97">
        <f t="shared" ref="K5:K36" si="5">IFERROR(J5/J$4*100,"-")</f>
        <v>26.258811681772411</v>
      </c>
      <c r="L5" s="5">
        <f>2020+205</f>
        <v>2225</v>
      </c>
      <c r="M5" s="97">
        <f t="shared" ref="M5:M36" si="6">IFERROR(L5/L$4*100,"-")</f>
        <v>28.419977008557929</v>
      </c>
      <c r="N5" s="5">
        <f>2235+232</f>
        <v>2467</v>
      </c>
      <c r="O5" s="97">
        <f t="shared" ref="O5:O36" si="7">IFERROR(N5/N$4*100,"-")</f>
        <v>28.146035367940677</v>
      </c>
      <c r="P5" s="5">
        <v>1780</v>
      </c>
      <c r="Q5" s="97">
        <f t="shared" ref="Q5:Q36" si="8">IFERROR(P5/P$4*100,"-")</f>
        <v>21.918482945450069</v>
      </c>
      <c r="R5" s="14">
        <f>1663+193</f>
        <v>1856</v>
      </c>
      <c r="S5" s="64">
        <f t="shared" ref="S5:S36" si="9">IFERROR(R5/R$4*100,"-")</f>
        <v>20.652052965394457</v>
      </c>
      <c r="T5" s="14">
        <f>1583+205</f>
        <v>1788</v>
      </c>
      <c r="U5" s="64">
        <f t="shared" ref="U5:U52" si="10">IFERROR(T5/T$4*100,"-")</f>
        <v>19.975421740587642</v>
      </c>
    </row>
    <row r="6" spans="1:22" ht="20.100000000000001" customHeight="1">
      <c r="A6" s="24" t="s">
        <v>223</v>
      </c>
      <c r="B6" s="5">
        <f>228+55</f>
        <v>283</v>
      </c>
      <c r="C6" s="97">
        <f t="shared" si="1"/>
        <v>3.0238273319799123</v>
      </c>
      <c r="D6" s="5">
        <f>339+85</f>
        <v>424</v>
      </c>
      <c r="E6" s="97">
        <f t="shared" si="2"/>
        <v>4.9486461251167135</v>
      </c>
      <c r="F6" s="5">
        <f>515+99</f>
        <v>614</v>
      </c>
      <c r="G6" s="97">
        <f t="shared" si="3"/>
        <v>7.5504181013280869</v>
      </c>
      <c r="H6" s="5">
        <f>879+137</f>
        <v>1016</v>
      </c>
      <c r="I6" s="97">
        <f t="shared" si="4"/>
        <v>12.026515151515152</v>
      </c>
      <c r="J6" s="5">
        <f>929+185</f>
        <v>1114</v>
      </c>
      <c r="K6" s="97">
        <f t="shared" si="5"/>
        <v>14.023162134944611</v>
      </c>
      <c r="L6" s="5">
        <f>884+194</f>
        <v>1078</v>
      </c>
      <c r="M6" s="97">
        <f t="shared" si="6"/>
        <v>13.769319197854132</v>
      </c>
      <c r="N6" s="5">
        <f>929+219</f>
        <v>1148</v>
      </c>
      <c r="O6" s="97">
        <f t="shared" si="7"/>
        <v>13.097547062179121</v>
      </c>
      <c r="P6" s="5">
        <v>1256</v>
      </c>
      <c r="Q6" s="97">
        <f t="shared" si="8"/>
        <v>15.466075606452407</v>
      </c>
      <c r="R6" s="14">
        <f>1107+241</f>
        <v>1348</v>
      </c>
      <c r="S6" s="64">
        <f t="shared" si="9"/>
        <v>14.99944364081451</v>
      </c>
      <c r="T6" s="14">
        <f>1247+185</f>
        <v>1432</v>
      </c>
      <c r="U6" s="64">
        <f t="shared" si="10"/>
        <v>15.998212490224557</v>
      </c>
    </row>
    <row r="7" spans="1:22" ht="20.100000000000001" customHeight="1">
      <c r="A7" s="24" t="s">
        <v>224</v>
      </c>
      <c r="B7" s="5">
        <f>1956+318</f>
        <v>2274</v>
      </c>
      <c r="C7" s="97">
        <f t="shared" si="1"/>
        <v>24.297467678170744</v>
      </c>
      <c r="D7" s="5">
        <f>1648+260</f>
        <v>1908</v>
      </c>
      <c r="E7" s="97">
        <f t="shared" si="2"/>
        <v>22.268907563025213</v>
      </c>
      <c r="F7" s="5">
        <f>1369+176</f>
        <v>1545</v>
      </c>
      <c r="G7" s="97">
        <f t="shared" si="3"/>
        <v>18.999016232169208</v>
      </c>
      <c r="H7" s="5">
        <f>1224+147</f>
        <v>1371</v>
      </c>
      <c r="I7" s="97">
        <f t="shared" si="4"/>
        <v>16.228693181818183</v>
      </c>
      <c r="J7" s="5">
        <f>1073+161</f>
        <v>1234</v>
      </c>
      <c r="K7" s="97">
        <f t="shared" si="5"/>
        <v>15.533736153071501</v>
      </c>
      <c r="L7" s="5">
        <f>1048+176</f>
        <v>1224</v>
      </c>
      <c r="M7" s="97">
        <f t="shared" si="6"/>
        <v>15.634180610550516</v>
      </c>
      <c r="N7" s="5">
        <f>1100+178</f>
        <v>1278</v>
      </c>
      <c r="O7" s="97">
        <f t="shared" si="7"/>
        <v>14.580718767826584</v>
      </c>
      <c r="P7" s="5">
        <v>1008</v>
      </c>
      <c r="Q7" s="97">
        <f t="shared" si="8"/>
        <v>12.412264499445881</v>
      </c>
      <c r="R7" s="14">
        <f>755+166</f>
        <v>921</v>
      </c>
      <c r="S7" s="64">
        <f t="shared" si="9"/>
        <v>10.248136196728607</v>
      </c>
      <c r="T7" s="14">
        <f>853+187</f>
        <v>1040</v>
      </c>
      <c r="U7" s="64">
        <f t="shared" si="10"/>
        <v>11.618813540386549</v>
      </c>
    </row>
    <row r="8" spans="1:22" ht="20.100000000000001" customHeight="1">
      <c r="A8" s="24" t="s">
        <v>225</v>
      </c>
      <c r="B8" s="5">
        <f>11+0</f>
        <v>11</v>
      </c>
      <c r="C8" s="97">
        <f t="shared" si="1"/>
        <v>0.11753392456459023</v>
      </c>
      <c r="D8" s="5">
        <f>5+1</f>
        <v>6</v>
      </c>
      <c r="E8" s="97">
        <f t="shared" si="2"/>
        <v>7.0028011204481794E-2</v>
      </c>
      <c r="F8" s="5">
        <f>3+1</f>
        <v>4</v>
      </c>
      <c r="G8" s="97">
        <f t="shared" si="3"/>
        <v>4.918839153959665E-2</v>
      </c>
      <c r="H8" s="5">
        <f>13+4</f>
        <v>17</v>
      </c>
      <c r="I8" s="97">
        <f t="shared" si="4"/>
        <v>0.20123106060606061</v>
      </c>
      <c r="J8" s="5">
        <f>29+0</f>
        <v>29</v>
      </c>
      <c r="K8" s="97">
        <f t="shared" si="5"/>
        <v>0.36505538771399798</v>
      </c>
      <c r="L8" s="5">
        <f>26+0</f>
        <v>26</v>
      </c>
      <c r="M8" s="97">
        <f t="shared" si="6"/>
        <v>0.33209860774045219</v>
      </c>
      <c r="N8" s="5">
        <f>373+31</f>
        <v>404</v>
      </c>
      <c r="O8" s="97">
        <f t="shared" si="7"/>
        <v>4.6092413006274962</v>
      </c>
      <c r="P8" s="5">
        <v>952</v>
      </c>
      <c r="Q8" s="97">
        <f t="shared" si="8"/>
        <v>11.722694249476666</v>
      </c>
      <c r="R8" s="14">
        <f>1226+107</f>
        <v>1333</v>
      </c>
      <c r="S8" s="64">
        <f t="shared" si="9"/>
        <v>14.832535885167463</v>
      </c>
      <c r="T8" s="14">
        <f>934+68</f>
        <v>1002</v>
      </c>
      <c r="U8" s="64">
        <f t="shared" si="10"/>
        <v>11.194279968718579</v>
      </c>
    </row>
    <row r="9" spans="1:22" ht="20.100000000000001" customHeight="1">
      <c r="A9" s="24" t="s">
        <v>226</v>
      </c>
      <c r="B9" s="5">
        <f>787+54</f>
        <v>841</v>
      </c>
      <c r="C9" s="97">
        <f t="shared" si="1"/>
        <v>8.9860027780745817</v>
      </c>
      <c r="D9" s="5">
        <f>781+50</f>
        <v>831</v>
      </c>
      <c r="E9" s="97">
        <f t="shared" si="2"/>
        <v>9.6988795518207294</v>
      </c>
      <c r="F9" s="5">
        <f>729+64</f>
        <v>793</v>
      </c>
      <c r="G9" s="97">
        <f t="shared" si="3"/>
        <v>9.7515986227250373</v>
      </c>
      <c r="H9" s="5">
        <f>627+53</f>
        <v>680</v>
      </c>
      <c r="I9" s="97">
        <f t="shared" si="4"/>
        <v>8.0492424242424239</v>
      </c>
      <c r="J9" s="5">
        <f>590+42</f>
        <v>632</v>
      </c>
      <c r="K9" s="97">
        <f t="shared" si="5"/>
        <v>7.9556898288016109</v>
      </c>
      <c r="L9" s="5">
        <f>632+52</f>
        <v>684</v>
      </c>
      <c r="M9" s="97">
        <f t="shared" si="6"/>
        <v>8.736747988248819</v>
      </c>
      <c r="N9" s="5">
        <f>704+69</f>
        <v>773</v>
      </c>
      <c r="O9" s="97">
        <f t="shared" si="7"/>
        <v>8.8191671420422129</v>
      </c>
      <c r="P9" s="5">
        <v>772</v>
      </c>
      <c r="Q9" s="97">
        <f t="shared" si="8"/>
        <v>9.506218446004187</v>
      </c>
      <c r="R9" s="14">
        <f>707+66</f>
        <v>773</v>
      </c>
      <c r="S9" s="64">
        <f t="shared" si="9"/>
        <v>8.6013130076777564</v>
      </c>
      <c r="T9" s="14">
        <f>748+90</f>
        <v>838</v>
      </c>
      <c r="U9" s="64">
        <f t="shared" si="10"/>
        <v>9.3620824488883922</v>
      </c>
    </row>
    <row r="10" spans="1:22" ht="20.100000000000001" customHeight="1">
      <c r="A10" s="101" t="s">
        <v>229</v>
      </c>
      <c r="B10" s="5">
        <f>44+36</f>
        <v>80</v>
      </c>
      <c r="C10" s="97">
        <f t="shared" si="1"/>
        <v>0.85479217865156532</v>
      </c>
      <c r="D10" s="5">
        <f>34+24</f>
        <v>58</v>
      </c>
      <c r="E10" s="97">
        <f t="shared" si="2"/>
        <v>0.67693744164332403</v>
      </c>
      <c r="F10" s="5">
        <f>55+41</f>
        <v>96</v>
      </c>
      <c r="G10" s="97">
        <f t="shared" si="3"/>
        <v>1.1805213969503197</v>
      </c>
      <c r="H10" s="5">
        <f>150+64</f>
        <v>214</v>
      </c>
      <c r="I10" s="97">
        <f t="shared" si="4"/>
        <v>2.5331439393939394</v>
      </c>
      <c r="J10" s="5">
        <f>120+47</f>
        <v>167</v>
      </c>
      <c r="K10" s="97">
        <f t="shared" si="5"/>
        <v>2.1022155085599197</v>
      </c>
      <c r="L10" s="5">
        <f>156+58</f>
        <v>214</v>
      </c>
      <c r="M10" s="97">
        <f t="shared" si="6"/>
        <v>2.733427002171414</v>
      </c>
      <c r="N10" s="5">
        <f>244+92</f>
        <v>336</v>
      </c>
      <c r="O10" s="97">
        <f t="shared" si="7"/>
        <v>3.83342840844267</v>
      </c>
      <c r="P10" s="5">
        <v>305</v>
      </c>
      <c r="Q10" s="97">
        <f t="shared" si="8"/>
        <v>3.7556951114394774</v>
      </c>
      <c r="R10" s="14">
        <f>389+118</f>
        <v>507</v>
      </c>
      <c r="S10" s="64">
        <f t="shared" si="9"/>
        <v>5.6414821408701457</v>
      </c>
      <c r="T10" s="14">
        <f>491+160</f>
        <v>651</v>
      </c>
      <c r="U10" s="64">
        <f t="shared" si="10"/>
        <v>7.2729303988381195</v>
      </c>
    </row>
    <row r="11" spans="1:22" ht="20.100000000000001" customHeight="1">
      <c r="A11" s="24" t="s">
        <v>227</v>
      </c>
      <c r="B11" s="5">
        <f>904+98</f>
        <v>1002</v>
      </c>
      <c r="C11" s="97">
        <f t="shared" si="1"/>
        <v>10.706272037610857</v>
      </c>
      <c r="D11" s="5">
        <f>670+99</f>
        <v>769</v>
      </c>
      <c r="E11" s="97">
        <f t="shared" si="2"/>
        <v>8.9752567693744165</v>
      </c>
      <c r="F11" s="5">
        <f>650+95</f>
        <v>745</v>
      </c>
      <c r="G11" s="97">
        <f t="shared" si="3"/>
        <v>9.1613379242498763</v>
      </c>
      <c r="H11" s="5">
        <f>650+109</f>
        <v>759</v>
      </c>
      <c r="I11" s="97">
        <f t="shared" si="4"/>
        <v>8.984375</v>
      </c>
      <c r="J11" s="5">
        <f>608+109</f>
        <v>717</v>
      </c>
      <c r="K11" s="97">
        <f t="shared" si="5"/>
        <v>9.0256797583081561</v>
      </c>
      <c r="L11" s="5">
        <f>524+94</f>
        <v>618</v>
      </c>
      <c r="M11" s="97">
        <f t="shared" si="6"/>
        <v>7.8937284455230561</v>
      </c>
      <c r="N11" s="5">
        <f>524+89</f>
        <v>613</v>
      </c>
      <c r="O11" s="97">
        <f t="shared" si="7"/>
        <v>6.9937250427837991</v>
      </c>
      <c r="P11" s="5">
        <v>438</v>
      </c>
      <c r="Q11" s="97">
        <f t="shared" si="8"/>
        <v>5.3934244551163646</v>
      </c>
      <c r="R11" s="14">
        <f>362+55</f>
        <v>417</v>
      </c>
      <c r="S11" s="64">
        <f t="shared" si="9"/>
        <v>4.6400356069878708</v>
      </c>
      <c r="T11" s="14">
        <f>326+66</f>
        <v>392</v>
      </c>
      <c r="U11" s="64">
        <f t="shared" si="10"/>
        <v>4.3793989498380075</v>
      </c>
    </row>
    <row r="12" spans="1:22" ht="20.100000000000001" customHeight="1">
      <c r="A12" s="24" t="s">
        <v>228</v>
      </c>
      <c r="B12" s="5">
        <f>294+67</f>
        <v>361</v>
      </c>
      <c r="C12" s="97">
        <f t="shared" si="1"/>
        <v>3.8572497061651889</v>
      </c>
      <c r="D12" s="5">
        <f>273+45</f>
        <v>318</v>
      </c>
      <c r="E12" s="97">
        <f t="shared" si="2"/>
        <v>3.7114845938375352</v>
      </c>
      <c r="F12" s="5">
        <f>293+44</f>
        <v>337</v>
      </c>
      <c r="G12" s="97">
        <f t="shared" si="3"/>
        <v>4.144121987211018</v>
      </c>
      <c r="H12" s="5">
        <f>285+44</f>
        <v>329</v>
      </c>
      <c r="I12" s="97">
        <f t="shared" si="4"/>
        <v>3.8944128787878785</v>
      </c>
      <c r="J12" s="5">
        <f>338+49</f>
        <v>387</v>
      </c>
      <c r="K12" s="97">
        <f t="shared" si="5"/>
        <v>4.8716012084592144</v>
      </c>
      <c r="L12" s="5">
        <f>367+43</f>
        <v>410</v>
      </c>
      <c r="M12" s="97">
        <f t="shared" si="6"/>
        <v>5.2369395835994377</v>
      </c>
      <c r="N12" s="5">
        <f>349+49</f>
        <v>398</v>
      </c>
      <c r="O12" s="97">
        <f t="shared" si="7"/>
        <v>4.5407872219053056</v>
      </c>
      <c r="P12" s="5">
        <v>374</v>
      </c>
      <c r="Q12" s="97">
        <f t="shared" si="8"/>
        <v>4.6053441694372612</v>
      </c>
      <c r="R12" s="14">
        <f>386+63</f>
        <v>449</v>
      </c>
      <c r="S12" s="64">
        <f t="shared" si="9"/>
        <v>4.9961054857015696</v>
      </c>
      <c r="T12" s="14">
        <f>317+45</f>
        <v>362</v>
      </c>
      <c r="U12" s="64">
        <f t="shared" si="10"/>
        <v>4.0442408669422409</v>
      </c>
    </row>
    <row r="13" spans="1:22" ht="20.100000000000001" customHeight="1">
      <c r="A13" s="24" t="s">
        <v>230</v>
      </c>
      <c r="B13" s="5">
        <f>150+5</f>
        <v>155</v>
      </c>
      <c r="C13" s="97">
        <f t="shared" si="1"/>
        <v>1.6561598461374079</v>
      </c>
      <c r="D13" s="5">
        <f>126+4</f>
        <v>130</v>
      </c>
      <c r="E13" s="97">
        <f t="shared" si="2"/>
        <v>1.5172735760971054</v>
      </c>
      <c r="F13" s="5">
        <f>152+13</f>
        <v>165</v>
      </c>
      <c r="G13" s="97">
        <f t="shared" si="3"/>
        <v>2.029021151008362</v>
      </c>
      <c r="H13" s="5">
        <f>206+6</f>
        <v>212</v>
      </c>
      <c r="I13" s="97">
        <f t="shared" si="4"/>
        <v>2.5094696969696968</v>
      </c>
      <c r="J13" s="5">
        <f>286+9</f>
        <v>295</v>
      </c>
      <c r="K13" s="97">
        <f t="shared" si="5"/>
        <v>3.7134944612286001</v>
      </c>
      <c r="L13" s="5">
        <f>250+11</f>
        <v>261</v>
      </c>
      <c r="M13" s="97">
        <f t="shared" si="6"/>
        <v>3.3337591007791545</v>
      </c>
      <c r="N13" s="5">
        <f>271+9</f>
        <v>280</v>
      </c>
      <c r="O13" s="97">
        <f t="shared" si="7"/>
        <v>3.1945236737022249</v>
      </c>
      <c r="P13" s="5">
        <v>238</v>
      </c>
      <c r="Q13" s="97">
        <f t="shared" si="8"/>
        <v>2.9306735623691664</v>
      </c>
      <c r="R13" s="14">
        <f>243+8</f>
        <v>251</v>
      </c>
      <c r="S13" s="64">
        <f t="shared" si="9"/>
        <v>2.7929231111605652</v>
      </c>
      <c r="T13" s="14">
        <f>199+19</f>
        <v>218</v>
      </c>
      <c r="U13" s="64">
        <f t="shared" si="10"/>
        <v>2.4354820690425649</v>
      </c>
    </row>
    <row r="14" spans="1:22" ht="20.100000000000001" customHeight="1">
      <c r="A14" s="24" t="s">
        <v>268</v>
      </c>
      <c r="B14" s="5" t="s">
        <v>9</v>
      </c>
      <c r="C14" s="97" t="str">
        <f t="shared" si="1"/>
        <v>-</v>
      </c>
      <c r="D14" s="5" t="s">
        <v>9</v>
      </c>
      <c r="E14" s="97" t="str">
        <f t="shared" si="2"/>
        <v>-</v>
      </c>
      <c r="F14" s="5" t="s">
        <v>9</v>
      </c>
      <c r="G14" s="97" t="str">
        <f t="shared" si="3"/>
        <v>-</v>
      </c>
      <c r="H14" s="5" t="s">
        <v>9</v>
      </c>
      <c r="I14" s="97" t="str">
        <f t="shared" si="4"/>
        <v>-</v>
      </c>
      <c r="J14" s="5">
        <f>6+2</f>
        <v>8</v>
      </c>
      <c r="K14" s="97">
        <f t="shared" si="5"/>
        <v>0.10070493454179255</v>
      </c>
      <c r="L14" s="5">
        <f>11+3</f>
        <v>14</v>
      </c>
      <c r="M14" s="97">
        <f t="shared" si="6"/>
        <v>0.17882232724485886</v>
      </c>
      <c r="N14" s="5">
        <f>15+3</f>
        <v>18</v>
      </c>
      <c r="O14" s="97">
        <f t="shared" si="7"/>
        <v>0.20536223616657157</v>
      </c>
      <c r="P14" s="5">
        <v>35</v>
      </c>
      <c r="Q14" s="97">
        <f t="shared" si="8"/>
        <v>0.43098140623075976</v>
      </c>
      <c r="R14" s="14">
        <f>49+33</f>
        <v>82</v>
      </c>
      <c r="S14" s="64">
        <f t="shared" si="9"/>
        <v>0.91242906420385006</v>
      </c>
      <c r="T14" s="14">
        <f>155+51</f>
        <v>206</v>
      </c>
      <c r="U14" s="64">
        <f t="shared" si="10"/>
        <v>2.3014188358842591</v>
      </c>
    </row>
    <row r="15" spans="1:22" ht="20.100000000000001" customHeight="1">
      <c r="A15" s="24" t="s">
        <v>231</v>
      </c>
      <c r="B15" s="5">
        <f>637+142</f>
        <v>779</v>
      </c>
      <c r="C15" s="97">
        <f t="shared" si="1"/>
        <v>8.3235388396196175</v>
      </c>
      <c r="D15" s="5">
        <f>736+235</f>
        <v>971</v>
      </c>
      <c r="E15" s="97">
        <f t="shared" si="2"/>
        <v>11.332866479925304</v>
      </c>
      <c r="F15" s="5">
        <f>660+199</f>
        <v>859</v>
      </c>
      <c r="G15" s="97">
        <f t="shared" si="3"/>
        <v>10.563207083128381</v>
      </c>
      <c r="H15" s="5">
        <f>587+168</f>
        <v>755</v>
      </c>
      <c r="I15" s="97">
        <f t="shared" si="4"/>
        <v>8.9370265151515156</v>
      </c>
      <c r="J15" s="5">
        <f>294+97</f>
        <v>391</v>
      </c>
      <c r="K15" s="97">
        <f t="shared" si="5"/>
        <v>4.9219536757301103</v>
      </c>
      <c r="L15" s="5">
        <f>236+66</f>
        <v>302</v>
      </c>
      <c r="M15" s="97">
        <f t="shared" si="6"/>
        <v>3.8574530591390981</v>
      </c>
      <c r="N15" s="5">
        <f>203+41</f>
        <v>244</v>
      </c>
      <c r="O15" s="97">
        <f t="shared" si="7"/>
        <v>2.7837992013690815</v>
      </c>
      <c r="P15" s="5">
        <v>197</v>
      </c>
      <c r="Q15" s="97">
        <f t="shared" si="8"/>
        <v>2.4258096293559905</v>
      </c>
      <c r="R15" s="14">
        <f>128+27</f>
        <v>155</v>
      </c>
      <c r="S15" s="64">
        <f t="shared" si="9"/>
        <v>1.7247134750194726</v>
      </c>
      <c r="T15" s="14">
        <f>123+22</f>
        <v>145</v>
      </c>
      <c r="U15" s="64">
        <f t="shared" si="10"/>
        <v>1.6199307339962017</v>
      </c>
    </row>
    <row r="16" spans="1:22" ht="20.100000000000001" customHeight="1">
      <c r="A16" s="24" t="s">
        <v>233</v>
      </c>
      <c r="B16" s="5">
        <f>69+27</f>
        <v>96</v>
      </c>
      <c r="C16" s="97">
        <f t="shared" si="1"/>
        <v>1.0257506143818784</v>
      </c>
      <c r="D16" s="5">
        <f>53+11</f>
        <v>64</v>
      </c>
      <c r="E16" s="97">
        <f t="shared" si="2"/>
        <v>0.7469654528478058</v>
      </c>
      <c r="F16" s="5">
        <f>68+22</f>
        <v>90</v>
      </c>
      <c r="G16" s="97">
        <f t="shared" si="3"/>
        <v>1.1067388096409247</v>
      </c>
      <c r="H16" s="5">
        <f>99+31</f>
        <v>130</v>
      </c>
      <c r="I16" s="97">
        <f t="shared" si="4"/>
        <v>1.5388257575757576</v>
      </c>
      <c r="J16" s="5">
        <f>83+38</f>
        <v>121</v>
      </c>
      <c r="K16" s="97">
        <f t="shared" si="5"/>
        <v>1.5231621349446123</v>
      </c>
      <c r="L16" s="5">
        <f>85+27</f>
        <v>112</v>
      </c>
      <c r="M16" s="97">
        <f t="shared" si="6"/>
        <v>1.4305786179588709</v>
      </c>
      <c r="N16" s="5">
        <f>96+36</f>
        <v>132</v>
      </c>
      <c r="O16" s="97">
        <f t="shared" si="7"/>
        <v>1.5059897318881916</v>
      </c>
      <c r="P16" s="5">
        <v>113</v>
      </c>
      <c r="Q16" s="97">
        <f t="shared" si="8"/>
        <v>1.3914542544021671</v>
      </c>
      <c r="R16" s="14">
        <f>80+36</f>
        <v>116</v>
      </c>
      <c r="S16" s="64">
        <f t="shared" si="9"/>
        <v>1.2907533103371536</v>
      </c>
      <c r="T16" s="14">
        <f>89+32</f>
        <v>121</v>
      </c>
      <c r="U16" s="64">
        <f t="shared" si="10"/>
        <v>1.3518042676795889</v>
      </c>
    </row>
    <row r="17" spans="1:21" ht="20.100000000000001" customHeight="1">
      <c r="A17" s="24" t="s">
        <v>232</v>
      </c>
      <c r="B17" s="5">
        <f>167+23</f>
        <v>190</v>
      </c>
      <c r="C17" s="97">
        <f t="shared" si="1"/>
        <v>2.0301314242974677</v>
      </c>
      <c r="D17" s="5">
        <f>171+15</f>
        <v>186</v>
      </c>
      <c r="E17" s="97">
        <f t="shared" si="2"/>
        <v>2.1708683473389354</v>
      </c>
      <c r="F17" s="5">
        <f>120+13</f>
        <v>133</v>
      </c>
      <c r="G17" s="97">
        <f t="shared" si="3"/>
        <v>1.6355140186915886</v>
      </c>
      <c r="H17" s="5">
        <f>103+11</f>
        <v>114</v>
      </c>
      <c r="I17" s="97">
        <f t="shared" si="4"/>
        <v>1.3494318181818181</v>
      </c>
      <c r="J17" s="5">
        <f>95+6</f>
        <v>101</v>
      </c>
      <c r="K17" s="97">
        <f t="shared" si="5"/>
        <v>1.2713997985901311</v>
      </c>
      <c r="L17" s="5">
        <f>119+15</f>
        <v>134</v>
      </c>
      <c r="M17" s="97">
        <f t="shared" si="6"/>
        <v>1.7115851322007918</v>
      </c>
      <c r="N17" s="5">
        <f>71+20</f>
        <v>91</v>
      </c>
      <c r="O17" s="97">
        <f t="shared" si="7"/>
        <v>1.038220193953223</v>
      </c>
      <c r="P17" s="5">
        <v>120</v>
      </c>
      <c r="Q17" s="97">
        <f t="shared" si="8"/>
        <v>1.4776505356483192</v>
      </c>
      <c r="R17" s="14">
        <f>69+11</f>
        <v>80</v>
      </c>
      <c r="S17" s="64">
        <f t="shared" si="9"/>
        <v>0.89017469678424388</v>
      </c>
      <c r="T17" s="14">
        <f>94+6</f>
        <v>100</v>
      </c>
      <c r="U17" s="64">
        <f t="shared" si="10"/>
        <v>1.1171936096525528</v>
      </c>
    </row>
    <row r="18" spans="1:21" ht="20.100000000000001" customHeight="1">
      <c r="A18" s="24" t="s">
        <v>234</v>
      </c>
      <c r="B18" s="5">
        <f>72+0</f>
        <v>72</v>
      </c>
      <c r="C18" s="97">
        <f t="shared" si="1"/>
        <v>0.76931296078640876</v>
      </c>
      <c r="D18" s="5">
        <v>92</v>
      </c>
      <c r="E18" s="97">
        <f t="shared" si="2"/>
        <v>1.0737628384687208</v>
      </c>
      <c r="F18" s="5">
        <f>87+1</f>
        <v>88</v>
      </c>
      <c r="G18" s="97">
        <f t="shared" si="3"/>
        <v>1.0821446138711266</v>
      </c>
      <c r="H18" s="5">
        <f>134+7</f>
        <v>141</v>
      </c>
      <c r="I18" s="97">
        <f t="shared" si="4"/>
        <v>1.6690340909090908</v>
      </c>
      <c r="J18" s="5">
        <f>94+3</f>
        <v>97</v>
      </c>
      <c r="K18" s="97">
        <f t="shared" si="5"/>
        <v>1.2210473313192347</v>
      </c>
      <c r="L18" s="5">
        <f>33+5</f>
        <v>38</v>
      </c>
      <c r="M18" s="97">
        <f t="shared" si="6"/>
        <v>0.48537488823604547</v>
      </c>
      <c r="N18" s="5">
        <f>60+5</f>
        <v>65</v>
      </c>
      <c r="O18" s="97">
        <f t="shared" si="7"/>
        <v>0.74158585282373068</v>
      </c>
      <c r="P18" s="5">
        <v>78</v>
      </c>
      <c r="Q18" s="97">
        <f t="shared" si="8"/>
        <v>0.96047284817140743</v>
      </c>
      <c r="R18" s="14">
        <f>123+9</f>
        <v>132</v>
      </c>
      <c r="S18" s="64">
        <f t="shared" si="9"/>
        <v>1.4687882496940026</v>
      </c>
      <c r="T18" s="14">
        <f>87+11</f>
        <v>98</v>
      </c>
      <c r="U18" s="64">
        <f t="shared" si="10"/>
        <v>1.0948497374595019</v>
      </c>
    </row>
    <row r="19" spans="1:21" ht="20.100000000000001" customHeight="1">
      <c r="A19" s="24" t="s">
        <v>235</v>
      </c>
      <c r="B19" s="5">
        <f>159+36</f>
        <v>195</v>
      </c>
      <c r="C19" s="97">
        <f t="shared" si="1"/>
        <v>2.0835559354631905</v>
      </c>
      <c r="D19" s="5">
        <f>131+23</f>
        <v>154</v>
      </c>
      <c r="E19" s="97">
        <f t="shared" si="2"/>
        <v>1.7973856209150325</v>
      </c>
      <c r="F19" s="5">
        <f>73+31</f>
        <v>104</v>
      </c>
      <c r="G19" s="97">
        <f t="shared" si="3"/>
        <v>1.2788981800295129</v>
      </c>
      <c r="H19" s="5">
        <f>52+28</f>
        <v>80</v>
      </c>
      <c r="I19" s="97">
        <f t="shared" si="4"/>
        <v>0.94696969696969702</v>
      </c>
      <c r="J19" s="5">
        <f>33+28</f>
        <v>61</v>
      </c>
      <c r="K19" s="97">
        <f t="shared" si="5"/>
        <v>0.76787512588116813</v>
      </c>
      <c r="L19" s="5">
        <f>44+23</f>
        <v>67</v>
      </c>
      <c r="M19" s="97">
        <f t="shared" si="6"/>
        <v>0.85579256610039589</v>
      </c>
      <c r="N19" s="5">
        <f>34+21</f>
        <v>55</v>
      </c>
      <c r="O19" s="97">
        <f t="shared" si="7"/>
        <v>0.62749572162007994</v>
      </c>
      <c r="P19" s="5">
        <v>66</v>
      </c>
      <c r="Q19" s="97">
        <f t="shared" si="8"/>
        <v>0.8127077946065755</v>
      </c>
      <c r="R19" s="14">
        <f>68+20</f>
        <v>88</v>
      </c>
      <c r="S19" s="64">
        <f t="shared" si="9"/>
        <v>0.97919216646266816</v>
      </c>
      <c r="T19" s="14">
        <f>56+12</f>
        <v>68</v>
      </c>
      <c r="U19" s="64">
        <f t="shared" si="10"/>
        <v>0.75969165456373589</v>
      </c>
    </row>
    <row r="20" spans="1:21" ht="20.100000000000001" customHeight="1">
      <c r="A20" s="24" t="s">
        <v>237</v>
      </c>
      <c r="B20" s="5">
        <f>54+19</f>
        <v>73</v>
      </c>
      <c r="C20" s="97">
        <f t="shared" si="1"/>
        <v>0.77999786301955343</v>
      </c>
      <c r="D20" s="5">
        <f>55+11</f>
        <v>66</v>
      </c>
      <c r="E20" s="97">
        <f t="shared" si="2"/>
        <v>0.77030812324929976</v>
      </c>
      <c r="F20" s="5">
        <f>52+9</f>
        <v>61</v>
      </c>
      <c r="G20" s="97">
        <f t="shared" si="3"/>
        <v>0.75012297097884906</v>
      </c>
      <c r="H20" s="5">
        <f>35+9</f>
        <v>44</v>
      </c>
      <c r="I20" s="97">
        <f t="shared" si="4"/>
        <v>0.52083333333333326</v>
      </c>
      <c r="J20" s="5">
        <f>56+6</f>
        <v>62</v>
      </c>
      <c r="K20" s="97">
        <f t="shared" si="5"/>
        <v>0.78046324269889222</v>
      </c>
      <c r="L20" s="5">
        <f>51+14</f>
        <v>65</v>
      </c>
      <c r="M20" s="97">
        <f t="shared" si="6"/>
        <v>0.83024651935113047</v>
      </c>
      <c r="N20" s="5">
        <f>48+18</f>
        <v>66</v>
      </c>
      <c r="O20" s="97">
        <f t="shared" si="7"/>
        <v>0.75299486594409581</v>
      </c>
      <c r="P20" s="5">
        <v>38</v>
      </c>
      <c r="Q20" s="97">
        <f t="shared" si="8"/>
        <v>0.46792266962196771</v>
      </c>
      <c r="R20" s="14">
        <f>50+11</f>
        <v>61</v>
      </c>
      <c r="S20" s="64">
        <f t="shared" si="9"/>
        <v>0.678758206297986</v>
      </c>
      <c r="T20" s="14">
        <f>53+14</f>
        <v>67</v>
      </c>
      <c r="U20" s="64">
        <f t="shared" si="10"/>
        <v>0.74851971846721044</v>
      </c>
    </row>
    <row r="21" spans="1:21" ht="20.100000000000001" customHeight="1">
      <c r="A21" s="24" t="s">
        <v>239</v>
      </c>
      <c r="B21" s="5">
        <f>7+2</f>
        <v>9</v>
      </c>
      <c r="C21" s="97">
        <f t="shared" si="1"/>
        <v>9.6164120098301095E-2</v>
      </c>
      <c r="D21" s="5">
        <f>12+1</f>
        <v>13</v>
      </c>
      <c r="E21" s="97">
        <f t="shared" si="2"/>
        <v>0.15172735760971057</v>
      </c>
      <c r="F21" s="5">
        <f>20+3</f>
        <v>23</v>
      </c>
      <c r="G21" s="97">
        <f t="shared" si="3"/>
        <v>0.28283325135268078</v>
      </c>
      <c r="H21" s="5">
        <f>20+1</f>
        <v>21</v>
      </c>
      <c r="I21" s="97">
        <f t="shared" si="4"/>
        <v>0.24857954545454544</v>
      </c>
      <c r="J21" s="5">
        <f>28+1</f>
        <v>29</v>
      </c>
      <c r="K21" s="97">
        <f t="shared" si="5"/>
        <v>0.36505538771399798</v>
      </c>
      <c r="L21" s="5">
        <f>26+2</f>
        <v>28</v>
      </c>
      <c r="M21" s="97">
        <f t="shared" si="6"/>
        <v>0.35764465448971772</v>
      </c>
      <c r="N21" s="5">
        <f>25+1</f>
        <v>26</v>
      </c>
      <c r="O21" s="97">
        <f t="shared" si="7"/>
        <v>0.29663434112949227</v>
      </c>
      <c r="P21" s="5">
        <v>32</v>
      </c>
      <c r="Q21" s="97">
        <f t="shared" si="8"/>
        <v>0.39404014283955174</v>
      </c>
      <c r="R21" s="14">
        <f>36+4</f>
        <v>40</v>
      </c>
      <c r="S21" s="64">
        <f t="shared" si="9"/>
        <v>0.44508734839212194</v>
      </c>
      <c r="T21" s="14">
        <f>50+4</f>
        <v>54</v>
      </c>
      <c r="U21" s="64">
        <f t="shared" si="10"/>
        <v>0.60328454921237851</v>
      </c>
    </row>
    <row r="22" spans="1:21" ht="20.100000000000001" customHeight="1">
      <c r="A22" s="24" t="s">
        <v>273</v>
      </c>
      <c r="B22" s="5">
        <f>26+3</f>
        <v>29</v>
      </c>
      <c r="C22" s="97">
        <f t="shared" si="1"/>
        <v>0.30986216476119244</v>
      </c>
      <c r="D22" s="5">
        <f>18+1</f>
        <v>19</v>
      </c>
      <c r="E22" s="97">
        <f t="shared" si="2"/>
        <v>0.22175536881419233</v>
      </c>
      <c r="F22" s="5">
        <v>24</v>
      </c>
      <c r="G22" s="97">
        <f t="shared" si="3"/>
        <v>0.29513034923757991</v>
      </c>
      <c r="H22" s="5">
        <v>12</v>
      </c>
      <c r="I22" s="97">
        <f t="shared" si="4"/>
        <v>0.14204545454545456</v>
      </c>
      <c r="J22" s="5">
        <f>28+2</f>
        <v>30</v>
      </c>
      <c r="K22" s="97">
        <f t="shared" si="5"/>
        <v>0.37764350453172207</v>
      </c>
      <c r="L22" s="5">
        <f>15+1</f>
        <v>16</v>
      </c>
      <c r="M22" s="97">
        <f t="shared" si="6"/>
        <v>0.20436837399412441</v>
      </c>
      <c r="N22" s="5">
        <f>25+3</f>
        <v>28</v>
      </c>
      <c r="O22" s="97">
        <f t="shared" si="7"/>
        <v>0.31945236737022248</v>
      </c>
      <c r="P22" s="5">
        <v>27</v>
      </c>
      <c r="Q22" s="97">
        <f t="shared" si="8"/>
        <v>0.33247137052087183</v>
      </c>
      <c r="R22" s="14">
        <f>45+1</f>
        <v>46</v>
      </c>
      <c r="S22" s="64">
        <f t="shared" si="9"/>
        <v>0.51185045065094026</v>
      </c>
      <c r="T22" s="14">
        <f>48+4</f>
        <v>52</v>
      </c>
      <c r="U22" s="64">
        <f t="shared" si="10"/>
        <v>0.58094067701932739</v>
      </c>
    </row>
    <row r="23" spans="1:21" ht="20.100000000000001" customHeight="1">
      <c r="A23" s="24" t="s">
        <v>267</v>
      </c>
      <c r="B23" s="5">
        <v>29</v>
      </c>
      <c r="C23" s="97">
        <f t="shared" si="1"/>
        <v>0.30986216476119244</v>
      </c>
      <c r="D23" s="5">
        <f>31+1</f>
        <v>32</v>
      </c>
      <c r="E23" s="97">
        <f t="shared" si="2"/>
        <v>0.3734827264239029</v>
      </c>
      <c r="F23" s="5">
        <v>28</v>
      </c>
      <c r="G23" s="97">
        <f t="shared" si="3"/>
        <v>0.34431874077717661</v>
      </c>
      <c r="H23" s="5">
        <v>32</v>
      </c>
      <c r="I23" s="97">
        <f t="shared" si="4"/>
        <v>0.37878787878787878</v>
      </c>
      <c r="J23" s="5">
        <f>34+0</f>
        <v>34</v>
      </c>
      <c r="K23" s="97">
        <f t="shared" si="5"/>
        <v>0.42799597180261834</v>
      </c>
      <c r="L23" s="5">
        <f>37+1</f>
        <v>38</v>
      </c>
      <c r="M23" s="97">
        <f t="shared" si="6"/>
        <v>0.48537488823604547</v>
      </c>
      <c r="N23" s="5">
        <f>30+1</f>
        <v>31</v>
      </c>
      <c r="O23" s="97">
        <f t="shared" si="7"/>
        <v>0.35367940673131776</v>
      </c>
      <c r="P23" s="5">
        <v>12</v>
      </c>
      <c r="Q23" s="97">
        <f t="shared" si="8"/>
        <v>0.14776505356483191</v>
      </c>
      <c r="R23" s="14">
        <f>27+2</f>
        <v>29</v>
      </c>
      <c r="S23" s="64">
        <f t="shared" si="9"/>
        <v>0.32268832758428839</v>
      </c>
      <c r="T23" s="14">
        <f>39</f>
        <v>39</v>
      </c>
      <c r="U23" s="64">
        <f t="shared" si="10"/>
        <v>0.43570550776449557</v>
      </c>
    </row>
    <row r="24" spans="1:21" ht="20.100000000000001" customHeight="1">
      <c r="A24" s="24" t="s">
        <v>242</v>
      </c>
      <c r="B24" s="5">
        <f>21+0</f>
        <v>21</v>
      </c>
      <c r="C24" s="97">
        <f t="shared" si="1"/>
        <v>0.22438294689603588</v>
      </c>
      <c r="D24" s="5">
        <v>11</v>
      </c>
      <c r="E24" s="97">
        <f t="shared" si="2"/>
        <v>0.12838468720821661</v>
      </c>
      <c r="F24" s="5">
        <f>14+1</f>
        <v>15</v>
      </c>
      <c r="G24" s="97">
        <f t="shared" si="3"/>
        <v>0.18445646827348747</v>
      </c>
      <c r="H24" s="5">
        <f>10+1</f>
        <v>11</v>
      </c>
      <c r="I24" s="97">
        <f t="shared" si="4"/>
        <v>0.13020833333333331</v>
      </c>
      <c r="J24" s="5">
        <f>15+7</f>
        <v>22</v>
      </c>
      <c r="K24" s="97">
        <f t="shared" si="5"/>
        <v>0.27693856998992955</v>
      </c>
      <c r="L24" s="5">
        <f>13+2</f>
        <v>15</v>
      </c>
      <c r="M24" s="97">
        <f t="shared" si="6"/>
        <v>0.19159535061949162</v>
      </c>
      <c r="N24" s="5">
        <f>12+3</f>
        <v>15</v>
      </c>
      <c r="O24" s="97">
        <f t="shared" si="7"/>
        <v>0.17113519680547634</v>
      </c>
      <c r="P24" s="5">
        <v>25</v>
      </c>
      <c r="Q24" s="97">
        <f t="shared" si="8"/>
        <v>0.30784386159339983</v>
      </c>
      <c r="R24" s="14">
        <f>36+2</f>
        <v>38</v>
      </c>
      <c r="S24" s="64">
        <f t="shared" si="9"/>
        <v>0.42283298097251587</v>
      </c>
      <c r="T24" s="14">
        <f>28+7</f>
        <v>35</v>
      </c>
      <c r="U24" s="64">
        <f t="shared" si="10"/>
        <v>0.3910177633783935</v>
      </c>
    </row>
    <row r="25" spans="1:21" ht="20.100000000000001" customHeight="1">
      <c r="A25" s="24" t="s">
        <v>236</v>
      </c>
      <c r="B25" s="5">
        <f>70+8</f>
        <v>78</v>
      </c>
      <c r="C25" s="97">
        <f t="shared" si="1"/>
        <v>0.8334223741852762</v>
      </c>
      <c r="D25" s="5">
        <f>70+15</f>
        <v>85</v>
      </c>
      <c r="E25" s="97">
        <f t="shared" si="2"/>
        <v>0.99206349206349198</v>
      </c>
      <c r="F25" s="5">
        <f>68+7</f>
        <v>75</v>
      </c>
      <c r="G25" s="97">
        <f t="shared" si="3"/>
        <v>0.92228234136743725</v>
      </c>
      <c r="H25" s="5">
        <f>44+7</f>
        <v>51</v>
      </c>
      <c r="I25" s="97">
        <f t="shared" si="4"/>
        <v>0.60369318181818177</v>
      </c>
      <c r="J25" s="5">
        <f>55+4</f>
        <v>59</v>
      </c>
      <c r="K25" s="97">
        <f t="shared" si="5"/>
        <v>0.74269889224572005</v>
      </c>
      <c r="L25" s="5">
        <f>47+6</f>
        <v>53</v>
      </c>
      <c r="M25" s="97">
        <f t="shared" si="6"/>
        <v>0.67697023885553709</v>
      </c>
      <c r="N25" s="5">
        <f>41+3</f>
        <v>44</v>
      </c>
      <c r="O25" s="97">
        <f t="shared" si="7"/>
        <v>0.50199657729606384</v>
      </c>
      <c r="P25" s="5">
        <v>41</v>
      </c>
      <c r="Q25" s="97">
        <f t="shared" si="8"/>
        <v>0.50486393301317578</v>
      </c>
      <c r="R25" s="14">
        <f>29+5</f>
        <v>34</v>
      </c>
      <c r="S25" s="64">
        <f t="shared" si="9"/>
        <v>0.37832424613330362</v>
      </c>
      <c r="T25" s="14">
        <f>28+3</f>
        <v>31</v>
      </c>
      <c r="U25" s="64">
        <f t="shared" si="10"/>
        <v>0.34633001899229138</v>
      </c>
    </row>
    <row r="26" spans="1:21" ht="20.100000000000001" customHeight="1">
      <c r="A26" s="24" t="s">
        <v>238</v>
      </c>
      <c r="B26" s="5">
        <f>107+18</f>
        <v>125</v>
      </c>
      <c r="C26" s="97">
        <f t="shared" si="1"/>
        <v>1.3356127791430707</v>
      </c>
      <c r="D26" s="5">
        <f>79+8</f>
        <v>87</v>
      </c>
      <c r="E26" s="97">
        <f t="shared" si="2"/>
        <v>1.0154061624649859</v>
      </c>
      <c r="F26" s="5">
        <f>57+8</f>
        <v>65</v>
      </c>
      <c r="G26" s="97">
        <f t="shared" si="3"/>
        <v>0.79931136251844559</v>
      </c>
      <c r="H26" s="5">
        <f>48+7</f>
        <v>55</v>
      </c>
      <c r="I26" s="97">
        <f t="shared" si="4"/>
        <v>0.65104166666666674</v>
      </c>
      <c r="J26" s="5">
        <f>46+5</f>
        <v>51</v>
      </c>
      <c r="K26" s="97">
        <f t="shared" si="5"/>
        <v>0.64199395770392753</v>
      </c>
      <c r="L26" s="5">
        <f>38+0</f>
        <v>38</v>
      </c>
      <c r="M26" s="97">
        <f t="shared" si="6"/>
        <v>0.48537488823604547</v>
      </c>
      <c r="N26" s="5">
        <f>37+2</f>
        <v>39</v>
      </c>
      <c r="O26" s="97">
        <f t="shared" si="7"/>
        <v>0.44495151169423847</v>
      </c>
      <c r="P26" s="5">
        <v>34</v>
      </c>
      <c r="Q26" s="97">
        <f t="shared" si="8"/>
        <v>0.41866765176702375</v>
      </c>
      <c r="R26" s="14">
        <f>31+1</f>
        <v>32</v>
      </c>
      <c r="S26" s="64">
        <f t="shared" si="9"/>
        <v>0.35606987871369755</v>
      </c>
      <c r="T26" s="14">
        <f>28+2</f>
        <v>30</v>
      </c>
      <c r="U26" s="64">
        <f t="shared" si="10"/>
        <v>0.33515808289576582</v>
      </c>
    </row>
    <row r="27" spans="1:21" ht="20.100000000000001" customHeight="1">
      <c r="A27" s="24" t="s">
        <v>269</v>
      </c>
      <c r="B27" s="5" t="s">
        <v>9</v>
      </c>
      <c r="C27" s="97" t="str">
        <f t="shared" si="1"/>
        <v>-</v>
      </c>
      <c r="D27" s="5">
        <v>1</v>
      </c>
      <c r="E27" s="97">
        <f t="shared" si="2"/>
        <v>1.1671335200746966E-2</v>
      </c>
      <c r="F27" s="5">
        <v>2</v>
      </c>
      <c r="G27" s="97">
        <f t="shared" si="3"/>
        <v>2.4594195769798325E-2</v>
      </c>
      <c r="H27" s="5">
        <v>2</v>
      </c>
      <c r="I27" s="97">
        <f t="shared" si="4"/>
        <v>2.3674242424242424E-2</v>
      </c>
      <c r="J27" s="5" t="s">
        <v>9</v>
      </c>
      <c r="K27" s="97" t="str">
        <f t="shared" si="5"/>
        <v>-</v>
      </c>
      <c r="L27" s="5" t="s">
        <v>9</v>
      </c>
      <c r="M27" s="97" t="str">
        <f t="shared" si="6"/>
        <v>-</v>
      </c>
      <c r="N27" s="5">
        <f>4+0</f>
        <v>4</v>
      </c>
      <c r="O27" s="97">
        <f t="shared" si="7"/>
        <v>4.5636052481460354E-2</v>
      </c>
      <c r="P27" s="5" t="s">
        <v>49</v>
      </c>
      <c r="Q27" s="97" t="str">
        <f t="shared" si="8"/>
        <v>-</v>
      </c>
      <c r="R27" s="14">
        <f>3+2</f>
        <v>5</v>
      </c>
      <c r="S27" s="64">
        <f t="shared" si="9"/>
        <v>5.5635918549015242E-2</v>
      </c>
      <c r="T27" s="14">
        <v>23</v>
      </c>
      <c r="U27" s="64">
        <f t="shared" si="10"/>
        <v>0.25695453022008713</v>
      </c>
    </row>
    <row r="28" spans="1:21" ht="20.100000000000001" customHeight="1">
      <c r="A28" s="24" t="s">
        <v>240</v>
      </c>
      <c r="B28" s="5">
        <f>33+6</f>
        <v>39</v>
      </c>
      <c r="C28" s="97">
        <f t="shared" si="1"/>
        <v>0.4167111870926381</v>
      </c>
      <c r="D28" s="5">
        <f>57+15</f>
        <v>72</v>
      </c>
      <c r="E28" s="97">
        <f t="shared" si="2"/>
        <v>0.84033613445378152</v>
      </c>
      <c r="F28" s="5">
        <f>56+15</f>
        <v>71</v>
      </c>
      <c r="G28" s="97">
        <f t="shared" si="3"/>
        <v>0.87309394982784061</v>
      </c>
      <c r="H28" s="5">
        <f>56+7</f>
        <v>63</v>
      </c>
      <c r="I28" s="97">
        <f t="shared" si="4"/>
        <v>0.74573863636363635</v>
      </c>
      <c r="J28" s="5">
        <f>31+12</f>
        <v>43</v>
      </c>
      <c r="K28" s="97">
        <f t="shared" si="5"/>
        <v>0.54128902316213501</v>
      </c>
      <c r="L28" s="5">
        <f>23+3</f>
        <v>26</v>
      </c>
      <c r="M28" s="97">
        <f t="shared" si="6"/>
        <v>0.33209860774045219</v>
      </c>
      <c r="N28" s="5">
        <f>34+3</f>
        <v>37</v>
      </c>
      <c r="O28" s="97">
        <f t="shared" si="7"/>
        <v>0.42213348545350826</v>
      </c>
      <c r="P28" s="5">
        <v>31</v>
      </c>
      <c r="Q28" s="97">
        <f t="shared" si="8"/>
        <v>0.38172638837581579</v>
      </c>
      <c r="R28" s="14">
        <f>23+6</f>
        <v>29</v>
      </c>
      <c r="S28" s="64">
        <f t="shared" si="9"/>
        <v>0.32268832758428839</v>
      </c>
      <c r="T28" s="14">
        <f>20+2</f>
        <v>22</v>
      </c>
      <c r="U28" s="64">
        <f t="shared" si="10"/>
        <v>0.24578259412356163</v>
      </c>
    </row>
    <row r="29" spans="1:21" ht="20.100000000000001" customHeight="1">
      <c r="A29" s="24" t="s">
        <v>243</v>
      </c>
      <c r="B29" s="5">
        <f>21+4</f>
        <v>25</v>
      </c>
      <c r="C29" s="97">
        <f t="shared" si="1"/>
        <v>0.26712255582861416</v>
      </c>
      <c r="D29" s="5">
        <f>27+0</f>
        <v>27</v>
      </c>
      <c r="E29" s="97">
        <f t="shared" si="2"/>
        <v>0.31512605042016806</v>
      </c>
      <c r="F29" s="5">
        <v>23</v>
      </c>
      <c r="G29" s="97">
        <f t="shared" si="3"/>
        <v>0.28283325135268078</v>
      </c>
      <c r="H29" s="5">
        <f>37</f>
        <v>37</v>
      </c>
      <c r="I29" s="97">
        <f t="shared" si="4"/>
        <v>0.43797348484848481</v>
      </c>
      <c r="J29" s="5">
        <f>30+1</f>
        <v>31</v>
      </c>
      <c r="K29" s="97">
        <f t="shared" si="5"/>
        <v>0.39023162134944611</v>
      </c>
      <c r="L29" s="5">
        <f>25+0</f>
        <v>25</v>
      </c>
      <c r="M29" s="97">
        <f t="shared" si="6"/>
        <v>0.31932558436581937</v>
      </c>
      <c r="N29" s="5">
        <f>29+0</f>
        <v>29</v>
      </c>
      <c r="O29" s="97">
        <f t="shared" si="7"/>
        <v>0.33086138049058755</v>
      </c>
      <c r="P29" s="5">
        <v>23</v>
      </c>
      <c r="Q29" s="97">
        <f t="shared" si="8"/>
        <v>0.28321635266592782</v>
      </c>
      <c r="R29" s="14">
        <v>17</v>
      </c>
      <c r="S29" s="64">
        <f t="shared" si="9"/>
        <v>0.18916212306665181</v>
      </c>
      <c r="T29" s="14">
        <v>20</v>
      </c>
      <c r="U29" s="64">
        <f t="shared" si="10"/>
        <v>0.22343872193051056</v>
      </c>
    </row>
    <row r="30" spans="1:21" ht="20.100000000000001" customHeight="1">
      <c r="A30" s="24" t="s">
        <v>241</v>
      </c>
      <c r="B30" s="5">
        <f>54+3</f>
        <v>57</v>
      </c>
      <c r="C30" s="97">
        <f t="shared" si="1"/>
        <v>0.60903942728924032</v>
      </c>
      <c r="D30" s="5">
        <f>36+4</f>
        <v>40</v>
      </c>
      <c r="E30" s="97">
        <f t="shared" si="2"/>
        <v>0.46685340802987862</v>
      </c>
      <c r="F30" s="5">
        <f>31+5</f>
        <v>36</v>
      </c>
      <c r="G30" s="97">
        <f t="shared" si="3"/>
        <v>0.4426955238563699</v>
      </c>
      <c r="H30" s="5">
        <f>30+3</f>
        <v>33</v>
      </c>
      <c r="I30" s="97">
        <f t="shared" si="4"/>
        <v>0.390625</v>
      </c>
      <c r="J30" s="5">
        <f>31+3</f>
        <v>34</v>
      </c>
      <c r="K30" s="97">
        <f t="shared" si="5"/>
        <v>0.42799597180261834</v>
      </c>
      <c r="L30" s="5">
        <f>25+1</f>
        <v>26</v>
      </c>
      <c r="M30" s="97">
        <f t="shared" si="6"/>
        <v>0.33209860774045219</v>
      </c>
      <c r="N30" s="5">
        <f>35+1</f>
        <v>36</v>
      </c>
      <c r="O30" s="97">
        <f t="shared" si="7"/>
        <v>0.41072447233314313</v>
      </c>
      <c r="P30" s="5">
        <v>29</v>
      </c>
      <c r="Q30" s="97">
        <f t="shared" si="8"/>
        <v>0.35709887944834379</v>
      </c>
      <c r="R30" s="14">
        <f>30+3</f>
        <v>33</v>
      </c>
      <c r="S30" s="64">
        <f t="shared" si="9"/>
        <v>0.36719706242350064</v>
      </c>
      <c r="T30" s="14">
        <v>18</v>
      </c>
      <c r="U30" s="64">
        <f t="shared" si="10"/>
        <v>0.2010948497374595</v>
      </c>
    </row>
    <row r="31" spans="1:21" ht="20.100000000000001" customHeight="1">
      <c r="A31" s="24" t="s">
        <v>270</v>
      </c>
      <c r="B31" s="5">
        <f>3+2</f>
        <v>5</v>
      </c>
      <c r="C31" s="97">
        <f t="shared" si="1"/>
        <v>5.3424511165722832E-2</v>
      </c>
      <c r="D31" s="5">
        <f>8+1</f>
        <v>9</v>
      </c>
      <c r="E31" s="97">
        <f t="shared" si="2"/>
        <v>0.10504201680672269</v>
      </c>
      <c r="F31" s="5">
        <f>5+1</f>
        <v>6</v>
      </c>
      <c r="G31" s="97">
        <f t="shared" si="3"/>
        <v>7.3782587309394979E-2</v>
      </c>
      <c r="H31" s="5">
        <f>16+1</f>
        <v>17</v>
      </c>
      <c r="I31" s="97">
        <f t="shared" si="4"/>
        <v>0.20123106060606061</v>
      </c>
      <c r="J31" s="5">
        <f>12+4</f>
        <v>16</v>
      </c>
      <c r="K31" s="97">
        <f t="shared" si="5"/>
        <v>0.2014098690835851</v>
      </c>
      <c r="L31" s="5">
        <f>6+0</f>
        <v>6</v>
      </c>
      <c r="M31" s="97">
        <f t="shared" si="6"/>
        <v>7.6638140247796652E-2</v>
      </c>
      <c r="N31" s="5">
        <f>8+1</f>
        <v>9</v>
      </c>
      <c r="O31" s="97">
        <f t="shared" si="7"/>
        <v>0.10268111808328578</v>
      </c>
      <c r="P31" s="5">
        <v>11</v>
      </c>
      <c r="Q31" s="97">
        <f t="shared" si="8"/>
        <v>0.13545129910109593</v>
      </c>
      <c r="R31" s="14">
        <f>11+4</f>
        <v>15</v>
      </c>
      <c r="S31" s="64">
        <f t="shared" si="9"/>
        <v>0.16690775564704574</v>
      </c>
      <c r="T31" s="14">
        <f>10+2</f>
        <v>12</v>
      </c>
      <c r="U31" s="64">
        <f t="shared" si="10"/>
        <v>0.13406323315830634</v>
      </c>
    </row>
    <row r="32" spans="1:21" ht="20.100000000000001" customHeight="1">
      <c r="A32" s="101" t="s">
        <v>245</v>
      </c>
      <c r="B32" s="5">
        <f>26+2</f>
        <v>28</v>
      </c>
      <c r="C32" s="97">
        <f t="shared" si="1"/>
        <v>0.29917726252804788</v>
      </c>
      <c r="D32" s="5">
        <f>20+9</f>
        <v>29</v>
      </c>
      <c r="E32" s="97">
        <f t="shared" si="2"/>
        <v>0.33846872082166202</v>
      </c>
      <c r="F32" s="5">
        <f>14+4</f>
        <v>18</v>
      </c>
      <c r="G32" s="97">
        <f t="shared" si="3"/>
        <v>0.22134776192818495</v>
      </c>
      <c r="H32" s="5">
        <f>10+6</f>
        <v>16</v>
      </c>
      <c r="I32" s="97">
        <f t="shared" si="4"/>
        <v>0.18939393939393939</v>
      </c>
      <c r="J32" s="5">
        <f>11+4</f>
        <v>15</v>
      </c>
      <c r="K32" s="97">
        <f t="shared" si="5"/>
        <v>0.18882175226586104</v>
      </c>
      <c r="L32" s="5">
        <f>10+1</f>
        <v>11</v>
      </c>
      <c r="M32" s="97">
        <f t="shared" si="6"/>
        <v>0.14050325712096054</v>
      </c>
      <c r="N32" s="5">
        <f>14+3</f>
        <v>17</v>
      </c>
      <c r="O32" s="97">
        <f t="shared" si="7"/>
        <v>0.19395322304620652</v>
      </c>
      <c r="P32" s="5">
        <v>13</v>
      </c>
      <c r="Q32" s="97">
        <f t="shared" si="8"/>
        <v>0.16007880802856791</v>
      </c>
      <c r="R32" s="14">
        <f>9+3</f>
        <v>12</v>
      </c>
      <c r="S32" s="64">
        <f t="shared" si="9"/>
        <v>0.13352620451763658</v>
      </c>
      <c r="T32" s="14">
        <f>9+1</f>
        <v>10</v>
      </c>
      <c r="U32" s="64">
        <f t="shared" si="10"/>
        <v>0.11171936096525528</v>
      </c>
    </row>
    <row r="33" spans="1:21" ht="20.100000000000001" customHeight="1">
      <c r="A33" s="94" t="s">
        <v>523</v>
      </c>
      <c r="B33" s="5" t="s">
        <v>9</v>
      </c>
      <c r="C33" s="97" t="str">
        <f t="shared" si="1"/>
        <v>-</v>
      </c>
      <c r="D33" s="5" t="s">
        <v>9</v>
      </c>
      <c r="E33" s="97" t="str">
        <f t="shared" si="2"/>
        <v>-</v>
      </c>
      <c r="F33" s="5" t="s">
        <v>9</v>
      </c>
      <c r="G33" s="97" t="str">
        <f t="shared" si="3"/>
        <v>-</v>
      </c>
      <c r="H33" s="5" t="s">
        <v>220</v>
      </c>
      <c r="I33" s="97" t="str">
        <f t="shared" si="4"/>
        <v>-</v>
      </c>
      <c r="J33" s="5" t="s">
        <v>220</v>
      </c>
      <c r="K33" s="97" t="str">
        <f t="shared" si="5"/>
        <v>-</v>
      </c>
      <c r="L33" s="5" t="s">
        <v>9</v>
      </c>
      <c r="M33" s="97" t="str">
        <f t="shared" si="6"/>
        <v>-</v>
      </c>
      <c r="N33" s="5" t="s">
        <v>49</v>
      </c>
      <c r="O33" s="97" t="str">
        <f t="shared" si="7"/>
        <v>-</v>
      </c>
      <c r="P33" s="5" t="s">
        <v>49</v>
      </c>
      <c r="Q33" s="97" t="str">
        <f t="shared" si="8"/>
        <v>-</v>
      </c>
      <c r="R33" s="14">
        <v>3</v>
      </c>
      <c r="S33" s="64">
        <f t="shared" si="9"/>
        <v>3.3381551129409145E-2</v>
      </c>
      <c r="T33" s="14">
        <v>10</v>
      </c>
      <c r="U33" s="64">
        <f t="shared" si="10"/>
        <v>0.11171936096525528</v>
      </c>
    </row>
    <row r="34" spans="1:21" ht="20.100000000000001" customHeight="1">
      <c r="A34" s="24" t="s">
        <v>244</v>
      </c>
      <c r="B34" s="5">
        <f>16+3</f>
        <v>19</v>
      </c>
      <c r="C34" s="97">
        <f t="shared" si="1"/>
        <v>0.20301314242974675</v>
      </c>
      <c r="D34" s="5">
        <f>14+3</f>
        <v>17</v>
      </c>
      <c r="E34" s="97">
        <f t="shared" si="2"/>
        <v>0.1984126984126984</v>
      </c>
      <c r="F34" s="5">
        <f>8+4</f>
        <v>12</v>
      </c>
      <c r="G34" s="97">
        <f t="shared" si="3"/>
        <v>0.14756517461878996</v>
      </c>
      <c r="H34" s="5">
        <f>22+1</f>
        <v>23</v>
      </c>
      <c r="I34" s="97">
        <f t="shared" si="4"/>
        <v>0.2722537878787879</v>
      </c>
      <c r="J34" s="5">
        <f>7+2</f>
        <v>9</v>
      </c>
      <c r="K34" s="97">
        <f t="shared" si="5"/>
        <v>0.11329305135951663</v>
      </c>
      <c r="L34" s="5">
        <f>5+3</f>
        <v>8</v>
      </c>
      <c r="M34" s="97">
        <f t="shared" si="6"/>
        <v>0.10218418699706221</v>
      </c>
      <c r="N34" s="5">
        <f>8+3</f>
        <v>11</v>
      </c>
      <c r="O34" s="97">
        <f t="shared" si="7"/>
        <v>0.12549914432401596</v>
      </c>
      <c r="P34" s="5">
        <v>14</v>
      </c>
      <c r="Q34" s="97">
        <f t="shared" si="8"/>
        <v>0.17239256249230389</v>
      </c>
      <c r="R34" s="14">
        <f>19+1</f>
        <v>20</v>
      </c>
      <c r="S34" s="64">
        <f t="shared" si="9"/>
        <v>0.22254367419606097</v>
      </c>
      <c r="T34" s="14">
        <v>8</v>
      </c>
      <c r="U34" s="64">
        <f t="shared" si="10"/>
        <v>8.937548877220422E-2</v>
      </c>
    </row>
    <row r="35" spans="1:21" ht="20.100000000000001" customHeight="1">
      <c r="A35" s="24" t="s">
        <v>249</v>
      </c>
      <c r="B35" s="5">
        <f>11+15</f>
        <v>26</v>
      </c>
      <c r="C35" s="97">
        <f t="shared" si="1"/>
        <v>0.27780745806175872</v>
      </c>
      <c r="D35" s="5">
        <f>9+7</f>
        <v>16</v>
      </c>
      <c r="E35" s="97">
        <f t="shared" si="2"/>
        <v>0.18674136321195145</v>
      </c>
      <c r="F35" s="5">
        <f>4+6</f>
        <v>10</v>
      </c>
      <c r="G35" s="97">
        <f t="shared" si="3"/>
        <v>0.12297097884899164</v>
      </c>
      <c r="H35" s="5">
        <f>9+4</f>
        <v>13</v>
      </c>
      <c r="I35" s="97">
        <f t="shared" si="4"/>
        <v>0.15388257575757575</v>
      </c>
      <c r="J35" s="5">
        <f>3+6</f>
        <v>9</v>
      </c>
      <c r="K35" s="97">
        <f t="shared" si="5"/>
        <v>0.11329305135951663</v>
      </c>
      <c r="L35" s="5">
        <f>6+5</f>
        <v>11</v>
      </c>
      <c r="M35" s="97">
        <f t="shared" si="6"/>
        <v>0.14050325712096054</v>
      </c>
      <c r="N35" s="5">
        <f>7+5</f>
        <v>12</v>
      </c>
      <c r="O35" s="97">
        <f t="shared" si="7"/>
        <v>0.13690815744438106</v>
      </c>
      <c r="P35" s="5">
        <v>6</v>
      </c>
      <c r="Q35" s="97">
        <f t="shared" si="8"/>
        <v>7.3882526782415955E-2</v>
      </c>
      <c r="R35" s="14">
        <f>5+5</f>
        <v>10</v>
      </c>
      <c r="S35" s="64">
        <f t="shared" si="9"/>
        <v>0.11127183709803048</v>
      </c>
      <c r="T35" s="14">
        <f>2+5</f>
        <v>7</v>
      </c>
      <c r="U35" s="64">
        <f t="shared" si="10"/>
        <v>7.8203552675678703E-2</v>
      </c>
    </row>
    <row r="36" spans="1:21" ht="20.100000000000001" customHeight="1">
      <c r="A36" s="24" t="s">
        <v>247</v>
      </c>
      <c r="B36" s="5">
        <f>13+6</f>
        <v>19</v>
      </c>
      <c r="C36" s="97">
        <f t="shared" si="1"/>
        <v>0.20301314242974675</v>
      </c>
      <c r="D36" s="5">
        <f>23+3</f>
        <v>26</v>
      </c>
      <c r="E36" s="97">
        <f t="shared" si="2"/>
        <v>0.30345471521942113</v>
      </c>
      <c r="F36" s="5">
        <f>10+2</f>
        <v>12</v>
      </c>
      <c r="G36" s="97">
        <f t="shared" si="3"/>
        <v>0.14756517461878996</v>
      </c>
      <c r="H36" s="5">
        <f>22+0</f>
        <v>22</v>
      </c>
      <c r="I36" s="97">
        <f t="shared" si="4"/>
        <v>0.26041666666666663</v>
      </c>
      <c r="J36" s="5">
        <f>15+1</f>
        <v>16</v>
      </c>
      <c r="K36" s="97">
        <f t="shared" si="5"/>
        <v>0.2014098690835851</v>
      </c>
      <c r="L36" s="5">
        <f>11+1</f>
        <v>12</v>
      </c>
      <c r="M36" s="97">
        <f t="shared" si="6"/>
        <v>0.1532762804955933</v>
      </c>
      <c r="N36" s="5">
        <f>15+1</f>
        <v>16</v>
      </c>
      <c r="O36" s="97">
        <f t="shared" si="7"/>
        <v>0.18254420992584142</v>
      </c>
      <c r="P36" s="5">
        <v>8</v>
      </c>
      <c r="Q36" s="97">
        <f t="shared" si="8"/>
        <v>9.8510035709887936E-2</v>
      </c>
      <c r="R36" s="14">
        <v>9</v>
      </c>
      <c r="S36" s="64">
        <f t="shared" si="9"/>
        <v>0.10014465338822744</v>
      </c>
      <c r="T36" s="14">
        <f>5+2</f>
        <v>7</v>
      </c>
      <c r="U36" s="64">
        <f t="shared" si="10"/>
        <v>7.8203552675678703E-2</v>
      </c>
    </row>
    <row r="37" spans="1:21" ht="20.100000000000001" customHeight="1">
      <c r="A37" s="24" t="s">
        <v>699</v>
      </c>
      <c r="B37" s="5" t="s">
        <v>9</v>
      </c>
      <c r="C37" s="5" t="s">
        <v>9</v>
      </c>
      <c r="D37" s="5" t="s">
        <v>9</v>
      </c>
      <c r="E37" s="5" t="s">
        <v>9</v>
      </c>
      <c r="F37" s="5" t="s">
        <v>9</v>
      </c>
      <c r="G37" s="5" t="s">
        <v>9</v>
      </c>
      <c r="H37" s="5" t="s">
        <v>9</v>
      </c>
      <c r="I37" s="5" t="s">
        <v>9</v>
      </c>
      <c r="J37" s="5" t="s">
        <v>9</v>
      </c>
      <c r="K37" s="5" t="s">
        <v>9</v>
      </c>
      <c r="L37" s="5" t="s">
        <v>9</v>
      </c>
      <c r="M37" s="5" t="s">
        <v>9</v>
      </c>
      <c r="N37" s="5" t="s">
        <v>9</v>
      </c>
      <c r="O37" s="5" t="s">
        <v>9</v>
      </c>
      <c r="P37" s="5" t="s">
        <v>9</v>
      </c>
      <c r="Q37" s="5" t="s">
        <v>9</v>
      </c>
      <c r="R37" s="5" t="s">
        <v>9</v>
      </c>
      <c r="S37" s="5" t="s">
        <v>9</v>
      </c>
      <c r="T37" s="14">
        <v>7</v>
      </c>
      <c r="U37" s="64">
        <f t="shared" si="10"/>
        <v>7.8203552675678703E-2</v>
      </c>
    </row>
    <row r="38" spans="1:21" ht="20.100000000000001" customHeight="1">
      <c r="A38" s="101" t="s">
        <v>246</v>
      </c>
      <c r="B38" s="5">
        <f>8+1</f>
        <v>9</v>
      </c>
      <c r="C38" s="97">
        <f t="shared" ref="C38:C72" si="11">IFERROR(B38/B$4*100,"-")</f>
        <v>9.6164120098301095E-2</v>
      </c>
      <c r="D38" s="5">
        <f>6+1</f>
        <v>7</v>
      </c>
      <c r="E38" s="97">
        <f t="shared" ref="E38:E72" si="12">IFERROR(D38/D$4*100,"-")</f>
        <v>8.1699346405228759E-2</v>
      </c>
      <c r="F38" s="5">
        <f>15+2</f>
        <v>17</v>
      </c>
      <c r="G38" s="97">
        <f t="shared" ref="G38:G72" si="13">IFERROR(F38/F$4*100,"-")</f>
        <v>0.20905066404328579</v>
      </c>
      <c r="H38" s="5">
        <f>5+1</f>
        <v>6</v>
      </c>
      <c r="I38" s="97">
        <f t="shared" ref="I38:I72" si="14">IFERROR(H38/H$4*100,"-")</f>
        <v>7.1022727272727279E-2</v>
      </c>
      <c r="J38" s="5">
        <f>6+3</f>
        <v>9</v>
      </c>
      <c r="K38" s="97">
        <f t="shared" ref="K38:K72" si="15">IFERROR(J38/J$4*100,"-")</f>
        <v>0.11329305135951663</v>
      </c>
      <c r="L38" s="5">
        <f>7+0</f>
        <v>7</v>
      </c>
      <c r="M38" s="97">
        <f t="shared" ref="M38:M72" si="16">IFERROR(L38/L$4*100,"-")</f>
        <v>8.9411163622429429E-2</v>
      </c>
      <c r="N38" s="5">
        <f>5+3</f>
        <v>8</v>
      </c>
      <c r="O38" s="97">
        <f t="shared" ref="O38:O72" si="17">IFERROR(N38/N$4*100,"-")</f>
        <v>9.1272104962920708E-2</v>
      </c>
      <c r="P38" s="5">
        <v>12</v>
      </c>
      <c r="Q38" s="97">
        <f t="shared" ref="Q38:Q72" si="18">IFERROR(P38/P$4*100,"-")</f>
        <v>0.14776505356483191</v>
      </c>
      <c r="R38" s="14">
        <v>8</v>
      </c>
      <c r="S38" s="64">
        <f t="shared" ref="S38:S44" si="19">IFERROR(R38/R$4*100,"-")</f>
        <v>8.9017469678424388E-2</v>
      </c>
      <c r="T38" s="14">
        <v>6</v>
      </c>
      <c r="U38" s="64">
        <f t="shared" si="10"/>
        <v>6.7031616579153172E-2</v>
      </c>
    </row>
    <row r="39" spans="1:21" ht="20.100000000000001" customHeight="1">
      <c r="A39" s="24" t="s">
        <v>279</v>
      </c>
      <c r="B39" s="5" t="s">
        <v>9</v>
      </c>
      <c r="C39" s="97" t="str">
        <f t="shared" si="11"/>
        <v>-</v>
      </c>
      <c r="D39" s="5" t="s">
        <v>9</v>
      </c>
      <c r="E39" s="97" t="str">
        <f t="shared" si="12"/>
        <v>-</v>
      </c>
      <c r="F39" s="5">
        <v>2</v>
      </c>
      <c r="G39" s="97">
        <f t="shared" si="13"/>
        <v>2.4594195769798325E-2</v>
      </c>
      <c r="H39" s="5" t="s">
        <v>9</v>
      </c>
      <c r="I39" s="97" t="str">
        <f t="shared" si="14"/>
        <v>-</v>
      </c>
      <c r="J39" s="5" t="s">
        <v>9</v>
      </c>
      <c r="K39" s="97" t="str">
        <f t="shared" si="15"/>
        <v>-</v>
      </c>
      <c r="L39" s="5" t="s">
        <v>9</v>
      </c>
      <c r="M39" s="97" t="str">
        <f t="shared" si="16"/>
        <v>-</v>
      </c>
      <c r="N39" s="5" t="s">
        <v>49</v>
      </c>
      <c r="O39" s="97" t="str">
        <f t="shared" si="17"/>
        <v>-</v>
      </c>
      <c r="P39" s="5">
        <v>2</v>
      </c>
      <c r="Q39" s="97">
        <f t="shared" si="18"/>
        <v>2.4627508927471984E-2</v>
      </c>
      <c r="R39" s="14">
        <v>3</v>
      </c>
      <c r="S39" s="64">
        <f t="shared" si="19"/>
        <v>3.3381551129409145E-2</v>
      </c>
      <c r="T39" s="14">
        <v>5</v>
      </c>
      <c r="U39" s="64">
        <f t="shared" si="10"/>
        <v>5.5859680482627641E-2</v>
      </c>
    </row>
    <row r="40" spans="1:21" ht="20.100000000000001" customHeight="1">
      <c r="A40" s="24" t="s">
        <v>252</v>
      </c>
      <c r="B40" s="5">
        <f>3+10</f>
        <v>13</v>
      </c>
      <c r="C40" s="97">
        <f t="shared" si="11"/>
        <v>0.13890372903087936</v>
      </c>
      <c r="D40" s="5">
        <f>5+5</f>
        <v>10</v>
      </c>
      <c r="E40" s="97">
        <f t="shared" si="12"/>
        <v>0.11671335200746966</v>
      </c>
      <c r="F40" s="5">
        <f>1+8</f>
        <v>9</v>
      </c>
      <c r="G40" s="97">
        <f t="shared" si="13"/>
        <v>0.11067388096409247</v>
      </c>
      <c r="H40" s="5">
        <f>1+11</f>
        <v>12</v>
      </c>
      <c r="I40" s="97">
        <f t="shared" si="14"/>
        <v>0.14204545454545456</v>
      </c>
      <c r="J40" s="5">
        <f>3+1</f>
        <v>4</v>
      </c>
      <c r="K40" s="97">
        <f t="shared" si="15"/>
        <v>5.0352467270896276E-2</v>
      </c>
      <c r="L40" s="5">
        <f>3+4</f>
        <v>7</v>
      </c>
      <c r="M40" s="97">
        <f t="shared" si="16"/>
        <v>8.9411163622429429E-2</v>
      </c>
      <c r="N40" s="5">
        <f>1+2</f>
        <v>3</v>
      </c>
      <c r="O40" s="97">
        <f t="shared" si="17"/>
        <v>3.4227039361095266E-2</v>
      </c>
      <c r="P40" s="5">
        <v>2</v>
      </c>
      <c r="Q40" s="97">
        <f t="shared" si="18"/>
        <v>2.4627508927471984E-2</v>
      </c>
      <c r="R40" s="14">
        <f>2+3</f>
        <v>5</v>
      </c>
      <c r="S40" s="64">
        <f t="shared" si="19"/>
        <v>5.5635918549015242E-2</v>
      </c>
      <c r="T40" s="14">
        <v>4</v>
      </c>
      <c r="U40" s="64">
        <f t="shared" si="10"/>
        <v>4.468774438610211E-2</v>
      </c>
    </row>
    <row r="41" spans="1:21" ht="20.100000000000001" customHeight="1">
      <c r="A41" s="24" t="s">
        <v>255</v>
      </c>
      <c r="B41" s="5">
        <v>5</v>
      </c>
      <c r="C41" s="97">
        <f t="shared" si="11"/>
        <v>5.3424511165722832E-2</v>
      </c>
      <c r="D41" s="5">
        <v>3</v>
      </c>
      <c r="E41" s="97">
        <f t="shared" si="12"/>
        <v>3.5014005602240897E-2</v>
      </c>
      <c r="F41" s="5">
        <f>1+1</f>
        <v>2</v>
      </c>
      <c r="G41" s="97">
        <f t="shared" si="13"/>
        <v>2.4594195769798325E-2</v>
      </c>
      <c r="H41" s="5">
        <v>1</v>
      </c>
      <c r="I41" s="97">
        <f t="shared" si="14"/>
        <v>1.1837121212121212E-2</v>
      </c>
      <c r="J41" s="5">
        <v>3</v>
      </c>
      <c r="K41" s="97">
        <f t="shared" si="15"/>
        <v>3.7764350453172203E-2</v>
      </c>
      <c r="L41" s="5" t="s">
        <v>9</v>
      </c>
      <c r="M41" s="97" t="str">
        <f t="shared" si="16"/>
        <v>-</v>
      </c>
      <c r="N41" s="5" t="s">
        <v>49</v>
      </c>
      <c r="O41" s="97" t="str">
        <f t="shared" si="17"/>
        <v>-</v>
      </c>
      <c r="P41" s="5">
        <v>1</v>
      </c>
      <c r="Q41" s="97">
        <f t="shared" si="18"/>
        <v>1.2313754463735992E-2</v>
      </c>
      <c r="R41" s="14">
        <v>1</v>
      </c>
      <c r="S41" s="64">
        <f t="shared" si="19"/>
        <v>1.1127183709803048E-2</v>
      </c>
      <c r="T41" s="14">
        <v>4</v>
      </c>
      <c r="U41" s="64">
        <f t="shared" si="10"/>
        <v>4.468774438610211E-2</v>
      </c>
    </row>
    <row r="42" spans="1:21" ht="20.100000000000001" customHeight="1">
      <c r="A42" s="24" t="s">
        <v>251</v>
      </c>
      <c r="B42" s="5">
        <f>7+4</f>
        <v>11</v>
      </c>
      <c r="C42" s="97">
        <f t="shared" si="11"/>
        <v>0.11753392456459023</v>
      </c>
      <c r="D42" s="5">
        <f>4+1</f>
        <v>5</v>
      </c>
      <c r="E42" s="97">
        <f t="shared" si="12"/>
        <v>5.8356676003734828E-2</v>
      </c>
      <c r="F42" s="5">
        <v>5</v>
      </c>
      <c r="G42" s="97">
        <f t="shared" si="13"/>
        <v>6.1485489424495818E-2</v>
      </c>
      <c r="H42" s="5">
        <f>2+3</f>
        <v>5</v>
      </c>
      <c r="I42" s="97">
        <f t="shared" si="14"/>
        <v>5.9185606060606064E-2</v>
      </c>
      <c r="J42" s="5">
        <f>5+0</f>
        <v>5</v>
      </c>
      <c r="K42" s="97">
        <f t="shared" si="15"/>
        <v>6.2940584088620341E-2</v>
      </c>
      <c r="L42" s="5">
        <f>4+1</f>
        <v>5</v>
      </c>
      <c r="M42" s="97">
        <f t="shared" si="16"/>
        <v>6.3865116873163874E-2</v>
      </c>
      <c r="N42" s="5">
        <f>4+1</f>
        <v>5</v>
      </c>
      <c r="O42" s="97">
        <f t="shared" si="17"/>
        <v>5.7045065601825436E-2</v>
      </c>
      <c r="P42" s="5">
        <v>2</v>
      </c>
      <c r="Q42" s="97">
        <f t="shared" si="18"/>
        <v>2.4627508927471984E-2</v>
      </c>
      <c r="R42" s="14">
        <v>3</v>
      </c>
      <c r="S42" s="64">
        <f t="shared" si="19"/>
        <v>3.3381551129409145E-2</v>
      </c>
      <c r="T42" s="14">
        <v>3</v>
      </c>
      <c r="U42" s="64">
        <f t="shared" si="10"/>
        <v>3.3515808289576586E-2</v>
      </c>
    </row>
    <row r="43" spans="1:21" ht="35.25" customHeight="1">
      <c r="A43" s="94" t="s">
        <v>284</v>
      </c>
      <c r="B43" s="5" t="s">
        <v>9</v>
      </c>
      <c r="C43" s="97" t="str">
        <f>IFERROR(B43/B$4*100,"-")</f>
        <v>-</v>
      </c>
      <c r="D43" s="5" t="s">
        <v>9</v>
      </c>
      <c r="E43" s="97" t="str">
        <f>IFERROR(D43/D$4*100,"-")</f>
        <v>-</v>
      </c>
      <c r="F43" s="5" t="s">
        <v>9</v>
      </c>
      <c r="G43" s="97" t="str">
        <f>IFERROR(F43/F$4*100,"-")</f>
        <v>-</v>
      </c>
      <c r="H43" s="5" t="s">
        <v>9</v>
      </c>
      <c r="I43" s="97" t="str">
        <f>IFERROR(H43/H$4*100,"-")</f>
        <v>-</v>
      </c>
      <c r="J43" s="5" t="s">
        <v>9</v>
      </c>
      <c r="K43" s="97" t="str">
        <f>IFERROR(J43/J$4*100,"-")</f>
        <v>-</v>
      </c>
      <c r="L43" s="5" t="s">
        <v>9</v>
      </c>
      <c r="M43" s="97" t="str">
        <f>IFERROR(L43/L$4*100,"-")</f>
        <v>-</v>
      </c>
      <c r="N43" s="5">
        <v>2</v>
      </c>
      <c r="O43" s="97">
        <f>IFERROR(N43/N$4*100,"-")</f>
        <v>2.2818026240730177E-2</v>
      </c>
      <c r="P43" s="5">
        <v>5</v>
      </c>
      <c r="Q43" s="97">
        <f>IFERROR(P43/P$4*100,"-")</f>
        <v>6.1568772318679965E-2</v>
      </c>
      <c r="R43" s="14">
        <v>3</v>
      </c>
      <c r="S43" s="64">
        <f>IFERROR(R43/R$4*100,"-")</f>
        <v>3.3381551129409145E-2</v>
      </c>
      <c r="T43" s="14">
        <v>3</v>
      </c>
      <c r="U43" s="64">
        <f>IFERROR(T43/T$4*100,"-")</f>
        <v>3.3515808289576586E-2</v>
      </c>
    </row>
    <row r="44" spans="1:21" ht="20.100000000000001" customHeight="1">
      <c r="A44" s="24" t="s">
        <v>248</v>
      </c>
      <c r="B44" s="5">
        <v>11</v>
      </c>
      <c r="C44" s="97">
        <f t="shared" si="11"/>
        <v>0.11753392456459023</v>
      </c>
      <c r="D44" s="5">
        <v>1</v>
      </c>
      <c r="E44" s="97">
        <f t="shared" si="12"/>
        <v>1.1671335200746966E-2</v>
      </c>
      <c r="F44" s="5">
        <f>4+1</f>
        <v>5</v>
      </c>
      <c r="G44" s="97">
        <f t="shared" si="13"/>
        <v>6.1485489424495818E-2</v>
      </c>
      <c r="H44" s="5">
        <v>7</v>
      </c>
      <c r="I44" s="97">
        <f t="shared" si="14"/>
        <v>8.2859848484848481E-2</v>
      </c>
      <c r="J44" s="5">
        <f>2+1</f>
        <v>3</v>
      </c>
      <c r="K44" s="97">
        <f t="shared" si="15"/>
        <v>3.7764350453172203E-2</v>
      </c>
      <c r="L44" s="5">
        <f>5+0</f>
        <v>5</v>
      </c>
      <c r="M44" s="97">
        <f t="shared" si="16"/>
        <v>6.3865116873163874E-2</v>
      </c>
      <c r="N44" s="5">
        <f>7+0</f>
        <v>7</v>
      </c>
      <c r="O44" s="97">
        <f t="shared" si="17"/>
        <v>7.986309184255562E-2</v>
      </c>
      <c r="P44" s="5">
        <v>6</v>
      </c>
      <c r="Q44" s="97">
        <f t="shared" si="18"/>
        <v>7.3882526782415955E-2</v>
      </c>
      <c r="R44" s="14">
        <v>9</v>
      </c>
      <c r="S44" s="64">
        <f t="shared" si="19"/>
        <v>0.10014465338822744</v>
      </c>
      <c r="T44" s="14">
        <v>2</v>
      </c>
      <c r="U44" s="64">
        <f t="shared" si="10"/>
        <v>2.2343872193051055E-2</v>
      </c>
    </row>
    <row r="45" spans="1:21" ht="20.100000000000001" customHeight="1">
      <c r="A45" s="24" t="s">
        <v>253</v>
      </c>
      <c r="B45" s="5">
        <f>3+4</f>
        <v>7</v>
      </c>
      <c r="C45" s="97">
        <f t="shared" si="11"/>
        <v>7.4794315632011971E-2</v>
      </c>
      <c r="D45" s="5">
        <f>8+3</f>
        <v>11</v>
      </c>
      <c r="E45" s="97">
        <f t="shared" si="12"/>
        <v>0.12838468720821661</v>
      </c>
      <c r="F45" s="5">
        <f>3+2</f>
        <v>5</v>
      </c>
      <c r="G45" s="97">
        <f t="shared" si="13"/>
        <v>6.1485489424495818E-2</v>
      </c>
      <c r="H45" s="5">
        <f>5+1</f>
        <v>6</v>
      </c>
      <c r="I45" s="97">
        <f t="shared" si="14"/>
        <v>7.1022727272727279E-2</v>
      </c>
      <c r="J45" s="5">
        <v>4</v>
      </c>
      <c r="K45" s="97">
        <f t="shared" si="15"/>
        <v>5.0352467270896276E-2</v>
      </c>
      <c r="L45" s="5">
        <f>2+3</f>
        <v>5</v>
      </c>
      <c r="M45" s="97">
        <f t="shared" si="16"/>
        <v>6.3865116873163874E-2</v>
      </c>
      <c r="N45" s="5">
        <f>1+1</f>
        <v>2</v>
      </c>
      <c r="O45" s="97">
        <f t="shared" si="17"/>
        <v>2.2818026240730177E-2</v>
      </c>
      <c r="P45" s="5">
        <v>2</v>
      </c>
      <c r="Q45" s="97">
        <f t="shared" si="18"/>
        <v>2.4627508927471984E-2</v>
      </c>
      <c r="R45" s="14" t="s">
        <v>220</v>
      </c>
      <c r="S45" s="97" t="s">
        <v>220</v>
      </c>
      <c r="T45" s="14">
        <v>2</v>
      </c>
      <c r="U45" s="64">
        <f t="shared" si="10"/>
        <v>2.2343872193051055E-2</v>
      </c>
    </row>
    <row r="46" spans="1:21" ht="20.100000000000001" customHeight="1">
      <c r="A46" s="24" t="s">
        <v>260</v>
      </c>
      <c r="B46" s="5" t="s">
        <v>9</v>
      </c>
      <c r="C46" s="97" t="str">
        <f t="shared" si="11"/>
        <v>-</v>
      </c>
      <c r="D46" s="5" t="s">
        <v>9</v>
      </c>
      <c r="E46" s="97" t="str">
        <f t="shared" si="12"/>
        <v>-</v>
      </c>
      <c r="F46" s="5">
        <f>3+3</f>
        <v>6</v>
      </c>
      <c r="G46" s="97">
        <f t="shared" si="13"/>
        <v>7.3782587309394979E-2</v>
      </c>
      <c r="H46" s="5">
        <f>2+2</f>
        <v>4</v>
      </c>
      <c r="I46" s="97">
        <f t="shared" si="14"/>
        <v>4.7348484848484848E-2</v>
      </c>
      <c r="J46" s="5">
        <v>1</v>
      </c>
      <c r="K46" s="97">
        <f t="shared" si="15"/>
        <v>1.2588116817724069E-2</v>
      </c>
      <c r="L46" s="5" t="s">
        <v>9</v>
      </c>
      <c r="M46" s="97" t="str">
        <f t="shared" si="16"/>
        <v>-</v>
      </c>
      <c r="N46" s="5" t="s">
        <v>49</v>
      </c>
      <c r="O46" s="97" t="str">
        <f t="shared" si="17"/>
        <v>-</v>
      </c>
      <c r="P46" s="5">
        <v>1</v>
      </c>
      <c r="Q46" s="97">
        <f t="shared" si="18"/>
        <v>1.2313754463735992E-2</v>
      </c>
      <c r="R46" s="14" t="s">
        <v>220</v>
      </c>
      <c r="S46" s="97" t="str">
        <f t="shared" ref="S46:S72" si="20">IFERROR(R46/R$4*100,"-")</f>
        <v>-</v>
      </c>
      <c r="T46" s="14">
        <v>2</v>
      </c>
      <c r="U46" s="64">
        <f t="shared" si="10"/>
        <v>2.2343872193051055E-2</v>
      </c>
    </row>
    <row r="47" spans="1:21" ht="20.100000000000001" customHeight="1">
      <c r="A47" s="24" t="s">
        <v>262</v>
      </c>
      <c r="B47" s="5" t="s">
        <v>9</v>
      </c>
      <c r="C47" s="97" t="str">
        <f t="shared" si="11"/>
        <v>-</v>
      </c>
      <c r="D47" s="5">
        <v>3</v>
      </c>
      <c r="E47" s="97">
        <f t="shared" si="12"/>
        <v>3.5014005602240897E-2</v>
      </c>
      <c r="F47" s="5" t="s">
        <v>9</v>
      </c>
      <c r="G47" s="97" t="str">
        <f t="shared" si="13"/>
        <v>-</v>
      </c>
      <c r="H47" s="5">
        <f>1+2</f>
        <v>3</v>
      </c>
      <c r="I47" s="97">
        <f t="shared" si="14"/>
        <v>3.551136363636364E-2</v>
      </c>
      <c r="J47" s="5">
        <v>1</v>
      </c>
      <c r="K47" s="97">
        <f t="shared" si="15"/>
        <v>1.2588116817724069E-2</v>
      </c>
      <c r="L47" s="5">
        <f>1+2</f>
        <v>3</v>
      </c>
      <c r="M47" s="97">
        <f t="shared" si="16"/>
        <v>3.8319070123898326E-2</v>
      </c>
      <c r="N47" s="5">
        <f>1+1</f>
        <v>2</v>
      </c>
      <c r="O47" s="97">
        <f t="shared" si="17"/>
        <v>2.2818026240730177E-2</v>
      </c>
      <c r="P47" s="5">
        <v>3</v>
      </c>
      <c r="Q47" s="97">
        <f t="shared" si="18"/>
        <v>3.6941263391207978E-2</v>
      </c>
      <c r="R47" s="14" t="s">
        <v>220</v>
      </c>
      <c r="S47" s="97" t="str">
        <f t="shared" si="20"/>
        <v>-</v>
      </c>
      <c r="T47" s="14">
        <v>2</v>
      </c>
      <c r="U47" s="64">
        <f t="shared" si="10"/>
        <v>2.2343872193051055E-2</v>
      </c>
    </row>
    <row r="48" spans="1:21" ht="20.100000000000001" customHeight="1">
      <c r="A48" s="24" t="s">
        <v>250</v>
      </c>
      <c r="B48" s="5">
        <f>8+1</f>
        <v>9</v>
      </c>
      <c r="C48" s="97">
        <f t="shared" si="11"/>
        <v>9.6164120098301095E-2</v>
      </c>
      <c r="D48" s="5">
        <f>2+1</f>
        <v>3</v>
      </c>
      <c r="E48" s="97">
        <f t="shared" si="12"/>
        <v>3.5014005602240897E-2</v>
      </c>
      <c r="F48" s="5">
        <f>7+1</f>
        <v>8</v>
      </c>
      <c r="G48" s="97">
        <f t="shared" si="13"/>
        <v>9.83767830791933E-2</v>
      </c>
      <c r="H48" s="5">
        <f>6+0</f>
        <v>6</v>
      </c>
      <c r="I48" s="97">
        <f t="shared" si="14"/>
        <v>7.1022727272727279E-2</v>
      </c>
      <c r="J48" s="5">
        <v>2</v>
      </c>
      <c r="K48" s="97">
        <f t="shared" si="15"/>
        <v>2.5176233635448138E-2</v>
      </c>
      <c r="L48" s="5">
        <f>3+2</f>
        <v>5</v>
      </c>
      <c r="M48" s="97">
        <f t="shared" si="16"/>
        <v>6.3865116873163874E-2</v>
      </c>
      <c r="N48" s="5">
        <f>2+1</f>
        <v>3</v>
      </c>
      <c r="O48" s="97">
        <f t="shared" si="17"/>
        <v>3.4227039361095266E-2</v>
      </c>
      <c r="P48" s="5">
        <v>3</v>
      </c>
      <c r="Q48" s="97">
        <f t="shared" si="18"/>
        <v>3.6941263391207978E-2</v>
      </c>
      <c r="R48" s="14">
        <v>1</v>
      </c>
      <c r="S48" s="64">
        <f t="shared" si="20"/>
        <v>1.1127183709803048E-2</v>
      </c>
      <c r="T48" s="14">
        <v>1</v>
      </c>
      <c r="U48" s="64">
        <f t="shared" si="10"/>
        <v>1.1171936096525528E-2</v>
      </c>
    </row>
    <row r="49" spans="1:21" ht="20.100000000000001" customHeight="1">
      <c r="A49" s="24" t="s">
        <v>263</v>
      </c>
      <c r="B49" s="5" t="s">
        <v>9</v>
      </c>
      <c r="C49" s="97" t="str">
        <f t="shared" si="11"/>
        <v>-</v>
      </c>
      <c r="D49" s="5">
        <v>1</v>
      </c>
      <c r="E49" s="97">
        <f t="shared" si="12"/>
        <v>1.1671335200746966E-2</v>
      </c>
      <c r="F49" s="5" t="s">
        <v>9</v>
      </c>
      <c r="G49" s="97" t="str">
        <f t="shared" si="13"/>
        <v>-</v>
      </c>
      <c r="H49" s="5" t="s">
        <v>9</v>
      </c>
      <c r="I49" s="97" t="str">
        <f t="shared" si="14"/>
        <v>-</v>
      </c>
      <c r="J49" s="5" t="s">
        <v>9</v>
      </c>
      <c r="K49" s="97" t="str">
        <f t="shared" si="15"/>
        <v>-</v>
      </c>
      <c r="L49" s="5" t="s">
        <v>9</v>
      </c>
      <c r="M49" s="97" t="str">
        <f t="shared" si="16"/>
        <v>-</v>
      </c>
      <c r="N49" s="5" t="s">
        <v>49</v>
      </c>
      <c r="O49" s="97" t="str">
        <f t="shared" si="17"/>
        <v>-</v>
      </c>
      <c r="P49" s="5" t="s">
        <v>49</v>
      </c>
      <c r="Q49" s="97" t="str">
        <f t="shared" si="18"/>
        <v>-</v>
      </c>
      <c r="R49" s="14">
        <v>1</v>
      </c>
      <c r="S49" s="64">
        <f t="shared" si="20"/>
        <v>1.1127183709803048E-2</v>
      </c>
      <c r="T49" s="14">
        <v>1</v>
      </c>
      <c r="U49" s="64">
        <f t="shared" si="10"/>
        <v>1.1171936096525528E-2</v>
      </c>
    </row>
    <row r="50" spans="1:21" ht="20.100000000000001" customHeight="1">
      <c r="A50" s="24" t="s">
        <v>281</v>
      </c>
      <c r="B50" s="5">
        <v>7</v>
      </c>
      <c r="C50" s="97">
        <f t="shared" si="11"/>
        <v>7.4794315632011971E-2</v>
      </c>
      <c r="D50" s="5">
        <f>1+1</f>
        <v>2</v>
      </c>
      <c r="E50" s="97">
        <f t="shared" si="12"/>
        <v>2.3342670401493931E-2</v>
      </c>
      <c r="F50" s="5" t="s">
        <v>9</v>
      </c>
      <c r="G50" s="97" t="str">
        <f t="shared" si="13"/>
        <v>-</v>
      </c>
      <c r="H50" s="5" t="s">
        <v>9</v>
      </c>
      <c r="I50" s="97" t="str">
        <f t="shared" si="14"/>
        <v>-</v>
      </c>
      <c r="J50" s="5" t="s">
        <v>9</v>
      </c>
      <c r="K50" s="97" t="str">
        <f t="shared" si="15"/>
        <v>-</v>
      </c>
      <c r="L50" s="5">
        <f>1+0</f>
        <v>1</v>
      </c>
      <c r="M50" s="97">
        <f t="shared" si="16"/>
        <v>1.2773023374632776E-2</v>
      </c>
      <c r="N50" s="5" t="s">
        <v>49</v>
      </c>
      <c r="O50" s="97" t="str">
        <f t="shared" si="17"/>
        <v>-</v>
      </c>
      <c r="P50" s="5" t="s">
        <v>49</v>
      </c>
      <c r="Q50" s="97" t="str">
        <f t="shared" si="18"/>
        <v>-</v>
      </c>
      <c r="R50" s="14">
        <v>1</v>
      </c>
      <c r="S50" s="64">
        <f t="shared" si="20"/>
        <v>1.1127183709803048E-2</v>
      </c>
      <c r="T50" s="14">
        <v>1</v>
      </c>
      <c r="U50" s="64">
        <f t="shared" si="10"/>
        <v>1.1171936096525528E-2</v>
      </c>
    </row>
    <row r="51" spans="1:21" ht="20.100000000000001" customHeight="1">
      <c r="A51" s="101" t="s">
        <v>261</v>
      </c>
      <c r="B51" s="5" t="s">
        <v>9</v>
      </c>
      <c r="C51" s="97" t="str">
        <f t="shared" si="11"/>
        <v>-</v>
      </c>
      <c r="D51" s="5" t="s">
        <v>9</v>
      </c>
      <c r="E51" s="97" t="str">
        <f t="shared" si="12"/>
        <v>-</v>
      </c>
      <c r="F51" s="5" t="s">
        <v>9</v>
      </c>
      <c r="G51" s="97" t="str">
        <f t="shared" si="13"/>
        <v>-</v>
      </c>
      <c r="H51" s="5">
        <f>3+1</f>
        <v>4</v>
      </c>
      <c r="I51" s="97">
        <f t="shared" si="14"/>
        <v>4.7348484848484848E-2</v>
      </c>
      <c r="J51" s="5" t="s">
        <v>9</v>
      </c>
      <c r="K51" s="97" t="str">
        <f t="shared" si="15"/>
        <v>-</v>
      </c>
      <c r="L51" s="5" t="s">
        <v>9</v>
      </c>
      <c r="M51" s="97" t="str">
        <f t="shared" si="16"/>
        <v>-</v>
      </c>
      <c r="N51" s="5" t="s">
        <v>49</v>
      </c>
      <c r="O51" s="97" t="str">
        <f t="shared" si="17"/>
        <v>-</v>
      </c>
      <c r="P51" s="5" t="s">
        <v>49</v>
      </c>
      <c r="Q51" s="97" t="str">
        <f t="shared" si="18"/>
        <v>-</v>
      </c>
      <c r="R51" s="14" t="s">
        <v>220</v>
      </c>
      <c r="S51" s="97" t="str">
        <f t="shared" si="20"/>
        <v>-</v>
      </c>
      <c r="T51" s="14">
        <v>1</v>
      </c>
      <c r="U51" s="64">
        <f t="shared" si="10"/>
        <v>1.1171936096525528E-2</v>
      </c>
    </row>
    <row r="52" spans="1:21" ht="20.100000000000001" customHeight="1">
      <c r="A52" s="24" t="s">
        <v>277</v>
      </c>
      <c r="B52" s="5" t="s">
        <v>9</v>
      </c>
      <c r="C52" s="97" t="str">
        <f t="shared" si="11"/>
        <v>-</v>
      </c>
      <c r="D52" s="5" t="s">
        <v>9</v>
      </c>
      <c r="E52" s="97" t="str">
        <f t="shared" si="12"/>
        <v>-</v>
      </c>
      <c r="F52" s="5" t="s">
        <v>9</v>
      </c>
      <c r="G52" s="97" t="str">
        <f t="shared" si="13"/>
        <v>-</v>
      </c>
      <c r="H52" s="5">
        <v>1</v>
      </c>
      <c r="I52" s="97">
        <f t="shared" si="14"/>
        <v>1.1837121212121212E-2</v>
      </c>
      <c r="J52" s="5" t="s">
        <v>9</v>
      </c>
      <c r="K52" s="97" t="str">
        <f t="shared" si="15"/>
        <v>-</v>
      </c>
      <c r="L52" s="5" t="s">
        <v>9</v>
      </c>
      <c r="M52" s="97" t="str">
        <f t="shared" si="16"/>
        <v>-</v>
      </c>
      <c r="N52" s="5" t="s">
        <v>49</v>
      </c>
      <c r="O52" s="97" t="str">
        <f t="shared" si="17"/>
        <v>-</v>
      </c>
      <c r="P52" s="5" t="s">
        <v>49</v>
      </c>
      <c r="Q52" s="97" t="str">
        <f t="shared" si="18"/>
        <v>-</v>
      </c>
      <c r="R52" s="14" t="s">
        <v>220</v>
      </c>
      <c r="S52" s="97" t="str">
        <f t="shared" si="20"/>
        <v>-</v>
      </c>
      <c r="T52" s="14">
        <v>1</v>
      </c>
      <c r="U52" s="64">
        <f t="shared" si="10"/>
        <v>1.1171936096525528E-2</v>
      </c>
    </row>
    <row r="53" spans="1:21" ht="20.100000000000001" customHeight="1">
      <c r="A53" s="24" t="s">
        <v>272</v>
      </c>
      <c r="B53" s="5" t="s">
        <v>9</v>
      </c>
      <c r="C53" s="97" t="str">
        <f t="shared" si="11"/>
        <v>-</v>
      </c>
      <c r="D53" s="5">
        <v>4</v>
      </c>
      <c r="E53" s="97">
        <f t="shared" si="12"/>
        <v>4.6685340802987862E-2</v>
      </c>
      <c r="F53" s="5" t="s">
        <v>9</v>
      </c>
      <c r="G53" s="97" t="str">
        <f t="shared" si="13"/>
        <v>-</v>
      </c>
      <c r="H53" s="5" t="s">
        <v>9</v>
      </c>
      <c r="I53" s="97" t="str">
        <f t="shared" si="14"/>
        <v>-</v>
      </c>
      <c r="J53" s="5">
        <v>2</v>
      </c>
      <c r="K53" s="97">
        <f t="shared" si="15"/>
        <v>2.5176233635448138E-2</v>
      </c>
      <c r="L53" s="5" t="s">
        <v>9</v>
      </c>
      <c r="M53" s="97" t="str">
        <f t="shared" si="16"/>
        <v>-</v>
      </c>
      <c r="N53" s="5">
        <f>1+0</f>
        <v>1</v>
      </c>
      <c r="O53" s="97">
        <f t="shared" si="17"/>
        <v>1.1409013120365089E-2</v>
      </c>
      <c r="P53" s="5">
        <v>1</v>
      </c>
      <c r="Q53" s="97">
        <f t="shared" si="18"/>
        <v>1.2313754463735992E-2</v>
      </c>
      <c r="R53" s="14">
        <v>3</v>
      </c>
      <c r="S53" s="64">
        <f t="shared" si="20"/>
        <v>3.3381551129409145E-2</v>
      </c>
      <c r="T53" s="14" t="s">
        <v>220</v>
      </c>
      <c r="U53" s="14" t="s">
        <v>220</v>
      </c>
    </row>
    <row r="54" spans="1:21" ht="20.100000000000001" customHeight="1">
      <c r="A54" s="24" t="s">
        <v>254</v>
      </c>
      <c r="B54" s="5" t="s">
        <v>9</v>
      </c>
      <c r="C54" s="97" t="str">
        <f t="shared" si="11"/>
        <v>-</v>
      </c>
      <c r="D54" s="5">
        <v>1</v>
      </c>
      <c r="E54" s="97">
        <f t="shared" si="12"/>
        <v>1.1671335200746966E-2</v>
      </c>
      <c r="F54" s="5">
        <v>1</v>
      </c>
      <c r="G54" s="97">
        <f t="shared" si="13"/>
        <v>1.2297097884899163E-2</v>
      </c>
      <c r="H54" s="5" t="s">
        <v>9</v>
      </c>
      <c r="I54" s="97" t="str">
        <f t="shared" si="14"/>
        <v>-</v>
      </c>
      <c r="J54" s="5" t="s">
        <v>9</v>
      </c>
      <c r="K54" s="97" t="str">
        <f t="shared" si="15"/>
        <v>-</v>
      </c>
      <c r="L54" s="5" t="s">
        <v>9</v>
      </c>
      <c r="M54" s="97" t="str">
        <f t="shared" si="16"/>
        <v>-</v>
      </c>
      <c r="N54" s="5">
        <f>1+0</f>
        <v>1</v>
      </c>
      <c r="O54" s="97">
        <f t="shared" si="17"/>
        <v>1.1409013120365089E-2</v>
      </c>
      <c r="P54" s="5">
        <v>1</v>
      </c>
      <c r="Q54" s="97">
        <f t="shared" si="18"/>
        <v>1.2313754463735992E-2</v>
      </c>
      <c r="R54" s="14">
        <v>2</v>
      </c>
      <c r="S54" s="64">
        <f t="shared" si="20"/>
        <v>2.2254367419606097E-2</v>
      </c>
      <c r="T54" s="14" t="s">
        <v>220</v>
      </c>
      <c r="U54" s="14" t="s">
        <v>220</v>
      </c>
    </row>
    <row r="55" spans="1:21" ht="20.100000000000001" customHeight="1">
      <c r="A55" s="24" t="s">
        <v>276</v>
      </c>
      <c r="B55" s="5">
        <f>1+2</f>
        <v>3</v>
      </c>
      <c r="C55" s="97">
        <f t="shared" si="11"/>
        <v>3.2054706699433701E-2</v>
      </c>
      <c r="D55" s="5">
        <v>1</v>
      </c>
      <c r="E55" s="97">
        <f t="shared" si="12"/>
        <v>1.1671335200746966E-2</v>
      </c>
      <c r="F55" s="5">
        <v>1</v>
      </c>
      <c r="G55" s="97">
        <f t="shared" si="13"/>
        <v>1.2297097884899163E-2</v>
      </c>
      <c r="H55" s="5" t="s">
        <v>9</v>
      </c>
      <c r="I55" s="97" t="str">
        <f t="shared" si="14"/>
        <v>-</v>
      </c>
      <c r="J55" s="5">
        <f>1+1</f>
        <v>2</v>
      </c>
      <c r="K55" s="97">
        <f t="shared" si="15"/>
        <v>2.5176233635448138E-2</v>
      </c>
      <c r="L55" s="5">
        <f>0+1</f>
        <v>1</v>
      </c>
      <c r="M55" s="97">
        <f t="shared" si="16"/>
        <v>1.2773023374632776E-2</v>
      </c>
      <c r="N55" s="5">
        <f>1+0</f>
        <v>1</v>
      </c>
      <c r="O55" s="97">
        <f t="shared" si="17"/>
        <v>1.1409013120365089E-2</v>
      </c>
      <c r="P55" s="5" t="s">
        <v>49</v>
      </c>
      <c r="Q55" s="97" t="str">
        <f t="shared" si="18"/>
        <v>-</v>
      </c>
      <c r="R55" s="14">
        <v>2</v>
      </c>
      <c r="S55" s="64">
        <f t="shared" si="20"/>
        <v>2.2254367419606097E-2</v>
      </c>
      <c r="T55" s="14" t="s">
        <v>220</v>
      </c>
      <c r="U55" s="14" t="s">
        <v>220</v>
      </c>
    </row>
    <row r="56" spans="1:21" ht="20.100000000000001" customHeight="1">
      <c r="A56" s="94" t="s">
        <v>209</v>
      </c>
      <c r="B56" s="5" t="s">
        <v>9</v>
      </c>
      <c r="C56" s="97" t="str">
        <f t="shared" si="11"/>
        <v>-</v>
      </c>
      <c r="D56" s="5" t="s">
        <v>9</v>
      </c>
      <c r="E56" s="97" t="str">
        <f t="shared" si="12"/>
        <v>-</v>
      </c>
      <c r="F56" s="5" t="s">
        <v>9</v>
      </c>
      <c r="G56" s="97" t="str">
        <f t="shared" si="13"/>
        <v>-</v>
      </c>
      <c r="H56" s="5" t="s">
        <v>220</v>
      </c>
      <c r="I56" s="97" t="str">
        <f t="shared" si="14"/>
        <v>-</v>
      </c>
      <c r="J56" s="5" t="s">
        <v>220</v>
      </c>
      <c r="K56" s="97" t="str">
        <f t="shared" si="15"/>
        <v>-</v>
      </c>
      <c r="L56" s="5" t="s">
        <v>9</v>
      </c>
      <c r="M56" s="97" t="str">
        <f t="shared" si="16"/>
        <v>-</v>
      </c>
      <c r="N56" s="5" t="s">
        <v>49</v>
      </c>
      <c r="O56" s="97" t="str">
        <f t="shared" si="17"/>
        <v>-</v>
      </c>
      <c r="P56" s="5" t="s">
        <v>49</v>
      </c>
      <c r="Q56" s="97" t="str">
        <f t="shared" si="18"/>
        <v>-</v>
      </c>
      <c r="R56" s="14">
        <v>2</v>
      </c>
      <c r="S56" s="64">
        <f t="shared" si="20"/>
        <v>2.2254367419606097E-2</v>
      </c>
      <c r="T56" s="14" t="s">
        <v>220</v>
      </c>
      <c r="U56" s="14" t="s">
        <v>220</v>
      </c>
    </row>
    <row r="57" spans="1:21" ht="20.100000000000001" customHeight="1">
      <c r="A57" s="24" t="s">
        <v>264</v>
      </c>
      <c r="B57" s="5" t="s">
        <v>9</v>
      </c>
      <c r="C57" s="97" t="str">
        <f t="shared" si="11"/>
        <v>-</v>
      </c>
      <c r="D57" s="5">
        <v>2</v>
      </c>
      <c r="E57" s="97">
        <f t="shared" si="12"/>
        <v>2.3342670401493931E-2</v>
      </c>
      <c r="F57" s="5">
        <v>1</v>
      </c>
      <c r="G57" s="97">
        <f t="shared" si="13"/>
        <v>1.2297097884899163E-2</v>
      </c>
      <c r="H57" s="5" t="s">
        <v>9</v>
      </c>
      <c r="I57" s="97" t="str">
        <f t="shared" si="14"/>
        <v>-</v>
      </c>
      <c r="J57" s="5" t="s">
        <v>9</v>
      </c>
      <c r="K57" s="97" t="str">
        <f t="shared" si="15"/>
        <v>-</v>
      </c>
      <c r="L57" s="5" t="s">
        <v>9</v>
      </c>
      <c r="M57" s="97" t="str">
        <f t="shared" si="16"/>
        <v>-</v>
      </c>
      <c r="N57" s="5" t="s">
        <v>49</v>
      </c>
      <c r="O57" s="97" t="str">
        <f t="shared" si="17"/>
        <v>-</v>
      </c>
      <c r="P57" s="5" t="s">
        <v>49</v>
      </c>
      <c r="Q57" s="97" t="str">
        <f t="shared" si="18"/>
        <v>-</v>
      </c>
      <c r="R57" s="14">
        <v>1</v>
      </c>
      <c r="S57" s="64">
        <f t="shared" si="20"/>
        <v>1.1127183709803048E-2</v>
      </c>
      <c r="T57" s="14" t="s">
        <v>220</v>
      </c>
      <c r="U57" s="14" t="s">
        <v>220</v>
      </c>
    </row>
    <row r="58" spans="1:21" ht="20.100000000000001" customHeight="1">
      <c r="A58" s="94" t="s">
        <v>210</v>
      </c>
      <c r="B58" s="5" t="s">
        <v>9</v>
      </c>
      <c r="C58" s="97" t="str">
        <f t="shared" si="11"/>
        <v>-</v>
      </c>
      <c r="D58" s="5" t="s">
        <v>9</v>
      </c>
      <c r="E58" s="97" t="str">
        <f t="shared" si="12"/>
        <v>-</v>
      </c>
      <c r="F58" s="5" t="s">
        <v>9</v>
      </c>
      <c r="G58" s="97" t="str">
        <f t="shared" si="13"/>
        <v>-</v>
      </c>
      <c r="H58" s="5" t="s">
        <v>220</v>
      </c>
      <c r="I58" s="97" t="str">
        <f t="shared" si="14"/>
        <v>-</v>
      </c>
      <c r="J58" s="5" t="s">
        <v>220</v>
      </c>
      <c r="K58" s="97" t="str">
        <f t="shared" si="15"/>
        <v>-</v>
      </c>
      <c r="L58" s="5" t="s">
        <v>9</v>
      </c>
      <c r="M58" s="97" t="str">
        <f t="shared" si="16"/>
        <v>-</v>
      </c>
      <c r="N58" s="5" t="s">
        <v>49</v>
      </c>
      <c r="O58" s="97" t="str">
        <f t="shared" si="17"/>
        <v>-</v>
      </c>
      <c r="P58" s="5" t="s">
        <v>49</v>
      </c>
      <c r="Q58" s="97" t="str">
        <f t="shared" si="18"/>
        <v>-</v>
      </c>
      <c r="R58" s="14">
        <v>1</v>
      </c>
      <c r="S58" s="64">
        <f t="shared" si="20"/>
        <v>1.1127183709803048E-2</v>
      </c>
      <c r="T58" s="14" t="s">
        <v>220</v>
      </c>
      <c r="U58" s="14" t="s">
        <v>220</v>
      </c>
    </row>
    <row r="59" spans="1:21" ht="20.100000000000001" customHeight="1">
      <c r="A59" s="101" t="s">
        <v>256</v>
      </c>
      <c r="B59" s="5" t="s">
        <v>9</v>
      </c>
      <c r="C59" s="97" t="str">
        <f t="shared" si="11"/>
        <v>-</v>
      </c>
      <c r="D59" s="5">
        <v>1</v>
      </c>
      <c r="E59" s="97">
        <f t="shared" si="12"/>
        <v>1.1671335200746966E-2</v>
      </c>
      <c r="F59" s="5">
        <v>2</v>
      </c>
      <c r="G59" s="97">
        <f t="shared" si="13"/>
        <v>2.4594195769798325E-2</v>
      </c>
      <c r="H59" s="5">
        <v>1</v>
      </c>
      <c r="I59" s="97">
        <f t="shared" si="14"/>
        <v>1.1837121212121212E-2</v>
      </c>
      <c r="J59" s="5">
        <f>2+1</f>
        <v>3</v>
      </c>
      <c r="K59" s="97">
        <f t="shared" si="15"/>
        <v>3.7764350453172203E-2</v>
      </c>
      <c r="L59" s="5">
        <f>1+0</f>
        <v>1</v>
      </c>
      <c r="M59" s="97">
        <f t="shared" si="16"/>
        <v>1.2773023374632776E-2</v>
      </c>
      <c r="N59" s="5">
        <f>1+0</f>
        <v>1</v>
      </c>
      <c r="O59" s="97">
        <f t="shared" si="17"/>
        <v>1.1409013120365089E-2</v>
      </c>
      <c r="P59" s="5">
        <v>1</v>
      </c>
      <c r="Q59" s="97">
        <f t="shared" si="18"/>
        <v>1.2313754463735992E-2</v>
      </c>
      <c r="R59" s="14" t="s">
        <v>220</v>
      </c>
      <c r="S59" s="97" t="str">
        <f t="shared" si="20"/>
        <v>-</v>
      </c>
      <c r="T59" s="14" t="s">
        <v>220</v>
      </c>
      <c r="U59" s="14" t="s">
        <v>220</v>
      </c>
    </row>
    <row r="60" spans="1:21" ht="20.100000000000001" customHeight="1">
      <c r="A60" s="24" t="s">
        <v>257</v>
      </c>
      <c r="B60" s="5">
        <v>1</v>
      </c>
      <c r="C60" s="97">
        <f t="shared" si="11"/>
        <v>1.0684902233144567E-2</v>
      </c>
      <c r="D60" s="5" t="s">
        <v>9</v>
      </c>
      <c r="E60" s="97" t="str">
        <f t="shared" si="12"/>
        <v>-</v>
      </c>
      <c r="F60" s="5">
        <v>1</v>
      </c>
      <c r="G60" s="97">
        <f t="shared" si="13"/>
        <v>1.2297097884899163E-2</v>
      </c>
      <c r="H60" s="5">
        <v>1</v>
      </c>
      <c r="I60" s="97">
        <f t="shared" si="14"/>
        <v>1.1837121212121212E-2</v>
      </c>
      <c r="J60" s="5" t="s">
        <v>9</v>
      </c>
      <c r="K60" s="97" t="str">
        <f t="shared" si="15"/>
        <v>-</v>
      </c>
      <c r="L60" s="5" t="s">
        <v>9</v>
      </c>
      <c r="M60" s="97" t="str">
        <f t="shared" si="16"/>
        <v>-</v>
      </c>
      <c r="N60" s="5" t="s">
        <v>49</v>
      </c>
      <c r="O60" s="97" t="str">
        <f t="shared" si="17"/>
        <v>-</v>
      </c>
      <c r="P60" s="5">
        <v>1</v>
      </c>
      <c r="Q60" s="97">
        <f t="shared" si="18"/>
        <v>1.2313754463735992E-2</v>
      </c>
      <c r="R60" s="14" t="s">
        <v>220</v>
      </c>
      <c r="S60" s="97" t="str">
        <f t="shared" si="20"/>
        <v>-</v>
      </c>
      <c r="T60" s="14" t="s">
        <v>220</v>
      </c>
      <c r="U60" s="14" t="s">
        <v>220</v>
      </c>
    </row>
    <row r="61" spans="1:21" ht="20.100000000000001" customHeight="1">
      <c r="A61" s="24" t="s">
        <v>258</v>
      </c>
      <c r="B61" s="5" t="s">
        <v>49</v>
      </c>
      <c r="C61" s="97" t="str">
        <f t="shared" si="11"/>
        <v>-</v>
      </c>
      <c r="D61" s="5" t="s">
        <v>49</v>
      </c>
      <c r="E61" s="97" t="str">
        <f t="shared" si="12"/>
        <v>-</v>
      </c>
      <c r="F61" s="5" t="s">
        <v>49</v>
      </c>
      <c r="G61" s="97" t="str">
        <f t="shared" si="13"/>
        <v>-</v>
      </c>
      <c r="H61" s="5" t="s">
        <v>49</v>
      </c>
      <c r="I61" s="97" t="str">
        <f t="shared" si="14"/>
        <v>-</v>
      </c>
      <c r="J61" s="5" t="s">
        <v>49</v>
      </c>
      <c r="K61" s="97" t="str">
        <f t="shared" si="15"/>
        <v>-</v>
      </c>
      <c r="L61" s="5" t="s">
        <v>49</v>
      </c>
      <c r="M61" s="97" t="str">
        <f t="shared" si="16"/>
        <v>-</v>
      </c>
      <c r="N61" s="5" t="s">
        <v>49</v>
      </c>
      <c r="O61" s="97" t="str">
        <f t="shared" si="17"/>
        <v>-</v>
      </c>
      <c r="P61" s="5">
        <v>1</v>
      </c>
      <c r="Q61" s="97">
        <f t="shared" si="18"/>
        <v>1.2313754463735992E-2</v>
      </c>
      <c r="R61" s="14" t="s">
        <v>220</v>
      </c>
      <c r="S61" s="97" t="str">
        <f t="shared" si="20"/>
        <v>-</v>
      </c>
      <c r="T61" s="14" t="s">
        <v>220</v>
      </c>
      <c r="U61" s="14" t="s">
        <v>220</v>
      </c>
    </row>
    <row r="62" spans="1:21" ht="20.100000000000001" customHeight="1">
      <c r="A62" s="24" t="s">
        <v>259</v>
      </c>
      <c r="B62" s="5">
        <f>6+1</f>
        <v>7</v>
      </c>
      <c r="C62" s="97">
        <f t="shared" si="11"/>
        <v>7.4794315632011971E-2</v>
      </c>
      <c r="D62" s="5">
        <v>3</v>
      </c>
      <c r="E62" s="97">
        <f t="shared" si="12"/>
        <v>3.5014005602240897E-2</v>
      </c>
      <c r="F62" s="5">
        <v>4</v>
      </c>
      <c r="G62" s="97">
        <f t="shared" si="13"/>
        <v>4.918839153959665E-2</v>
      </c>
      <c r="H62" s="5">
        <v>2</v>
      </c>
      <c r="I62" s="97">
        <f t="shared" si="14"/>
        <v>2.3674242424242424E-2</v>
      </c>
      <c r="J62" s="5" t="s">
        <v>9</v>
      </c>
      <c r="K62" s="97" t="str">
        <f t="shared" si="15"/>
        <v>-</v>
      </c>
      <c r="L62" s="5">
        <f>1+0</f>
        <v>1</v>
      </c>
      <c r="M62" s="97">
        <f t="shared" si="16"/>
        <v>1.2773023374632776E-2</v>
      </c>
      <c r="N62" s="5">
        <f>1+0</f>
        <v>1</v>
      </c>
      <c r="O62" s="97">
        <f t="shared" si="17"/>
        <v>1.1409013120365089E-2</v>
      </c>
      <c r="P62" s="5">
        <v>1</v>
      </c>
      <c r="Q62" s="97">
        <f t="shared" si="18"/>
        <v>1.2313754463735992E-2</v>
      </c>
      <c r="R62" s="14" t="s">
        <v>220</v>
      </c>
      <c r="S62" s="97" t="str">
        <f t="shared" si="20"/>
        <v>-</v>
      </c>
      <c r="T62" s="14" t="s">
        <v>220</v>
      </c>
      <c r="U62" s="14" t="s">
        <v>220</v>
      </c>
    </row>
    <row r="63" spans="1:21" ht="20.100000000000001" customHeight="1">
      <c r="A63" s="24" t="s">
        <v>271</v>
      </c>
      <c r="B63" s="5">
        <f>5+1</f>
        <v>6</v>
      </c>
      <c r="C63" s="97">
        <f t="shared" si="11"/>
        <v>6.4109413398867401E-2</v>
      </c>
      <c r="D63" s="5">
        <v>4</v>
      </c>
      <c r="E63" s="97">
        <f t="shared" si="12"/>
        <v>4.6685340802987862E-2</v>
      </c>
      <c r="F63" s="5">
        <f>4+1</f>
        <v>5</v>
      </c>
      <c r="G63" s="97">
        <f t="shared" si="13"/>
        <v>6.1485489424495818E-2</v>
      </c>
      <c r="H63" s="5">
        <v>5</v>
      </c>
      <c r="I63" s="97">
        <f t="shared" si="14"/>
        <v>5.9185606060606064E-2</v>
      </c>
      <c r="J63" s="5" t="s">
        <v>9</v>
      </c>
      <c r="K63" s="97" t="str">
        <f t="shared" si="15"/>
        <v>-</v>
      </c>
      <c r="L63" s="5">
        <f>1+1</f>
        <v>2</v>
      </c>
      <c r="M63" s="97">
        <f t="shared" si="16"/>
        <v>2.5546046749265552E-2</v>
      </c>
      <c r="N63" s="5">
        <f>1+2</f>
        <v>3</v>
      </c>
      <c r="O63" s="97">
        <f t="shared" si="17"/>
        <v>3.4227039361095266E-2</v>
      </c>
      <c r="P63" s="5" t="s">
        <v>49</v>
      </c>
      <c r="Q63" s="97" t="str">
        <f t="shared" si="18"/>
        <v>-</v>
      </c>
      <c r="R63" s="14" t="s">
        <v>220</v>
      </c>
      <c r="S63" s="97" t="str">
        <f t="shared" si="20"/>
        <v>-</v>
      </c>
      <c r="T63" s="14" t="s">
        <v>220</v>
      </c>
      <c r="U63" s="14" t="s">
        <v>220</v>
      </c>
    </row>
    <row r="64" spans="1:21" ht="20.100000000000001" customHeight="1">
      <c r="A64" s="94" t="s">
        <v>274</v>
      </c>
      <c r="B64" s="5" t="s">
        <v>9</v>
      </c>
      <c r="C64" s="97" t="str">
        <f t="shared" si="11"/>
        <v>-</v>
      </c>
      <c r="D64" s="5" t="s">
        <v>9</v>
      </c>
      <c r="E64" s="97" t="str">
        <f t="shared" si="12"/>
        <v>-</v>
      </c>
      <c r="F64" s="5" t="s">
        <v>9</v>
      </c>
      <c r="G64" s="97" t="str">
        <f t="shared" si="13"/>
        <v>-</v>
      </c>
      <c r="H64" s="5" t="s">
        <v>9</v>
      </c>
      <c r="I64" s="97" t="str">
        <f t="shared" si="14"/>
        <v>-</v>
      </c>
      <c r="J64" s="5" t="s">
        <v>9</v>
      </c>
      <c r="K64" s="97" t="str">
        <f t="shared" si="15"/>
        <v>-</v>
      </c>
      <c r="L64" s="5" t="s">
        <v>9</v>
      </c>
      <c r="M64" s="97" t="str">
        <f t="shared" si="16"/>
        <v>-</v>
      </c>
      <c r="N64" s="5">
        <v>2</v>
      </c>
      <c r="O64" s="97">
        <f t="shared" si="17"/>
        <v>2.2818026240730177E-2</v>
      </c>
      <c r="P64" s="5" t="s">
        <v>49</v>
      </c>
      <c r="Q64" s="97" t="str">
        <f t="shared" si="18"/>
        <v>-</v>
      </c>
      <c r="R64" s="14" t="s">
        <v>220</v>
      </c>
      <c r="S64" s="97" t="str">
        <f t="shared" si="20"/>
        <v>-</v>
      </c>
      <c r="T64" s="14" t="s">
        <v>220</v>
      </c>
      <c r="U64" s="14" t="s">
        <v>220</v>
      </c>
    </row>
    <row r="65" spans="1:21" ht="20.100000000000001" customHeight="1">
      <c r="A65" s="94" t="s">
        <v>266</v>
      </c>
      <c r="B65" s="5" t="s">
        <v>9</v>
      </c>
      <c r="C65" s="97" t="str">
        <f t="shared" si="11"/>
        <v>-</v>
      </c>
      <c r="D65" s="5" t="s">
        <v>9</v>
      </c>
      <c r="E65" s="97" t="str">
        <f t="shared" si="12"/>
        <v>-</v>
      </c>
      <c r="F65" s="5" t="s">
        <v>9</v>
      </c>
      <c r="G65" s="97" t="str">
        <f t="shared" si="13"/>
        <v>-</v>
      </c>
      <c r="H65" s="5" t="s">
        <v>9</v>
      </c>
      <c r="I65" s="97" t="str">
        <f t="shared" si="14"/>
        <v>-</v>
      </c>
      <c r="J65" s="5" t="s">
        <v>9</v>
      </c>
      <c r="K65" s="97" t="str">
        <f t="shared" si="15"/>
        <v>-</v>
      </c>
      <c r="L65" s="5" t="s">
        <v>9</v>
      </c>
      <c r="M65" s="97" t="str">
        <f t="shared" si="16"/>
        <v>-</v>
      </c>
      <c r="N65" s="100">
        <v>1</v>
      </c>
      <c r="O65" s="97">
        <f t="shared" si="17"/>
        <v>1.1409013120365089E-2</v>
      </c>
      <c r="P65" s="5" t="s">
        <v>49</v>
      </c>
      <c r="Q65" s="97" t="str">
        <f t="shared" si="18"/>
        <v>-</v>
      </c>
      <c r="R65" s="14" t="s">
        <v>220</v>
      </c>
      <c r="S65" s="97" t="str">
        <f t="shared" si="20"/>
        <v>-</v>
      </c>
      <c r="T65" s="14" t="s">
        <v>220</v>
      </c>
      <c r="U65" s="14" t="s">
        <v>220</v>
      </c>
    </row>
    <row r="66" spans="1:21" ht="20.100000000000001" customHeight="1">
      <c r="A66" s="24" t="s">
        <v>283</v>
      </c>
      <c r="B66" s="5" t="s">
        <v>9</v>
      </c>
      <c r="C66" s="97" t="str">
        <f t="shared" si="11"/>
        <v>-</v>
      </c>
      <c r="D66" s="5" t="s">
        <v>9</v>
      </c>
      <c r="E66" s="97" t="str">
        <f t="shared" si="12"/>
        <v>-</v>
      </c>
      <c r="F66" s="5" t="s">
        <v>9</v>
      </c>
      <c r="G66" s="97" t="str">
        <f t="shared" si="13"/>
        <v>-</v>
      </c>
      <c r="H66" s="5">
        <v>1</v>
      </c>
      <c r="I66" s="97">
        <f t="shared" si="14"/>
        <v>1.1837121212121212E-2</v>
      </c>
      <c r="J66" s="5">
        <f>1+1</f>
        <v>2</v>
      </c>
      <c r="K66" s="97">
        <f t="shared" si="15"/>
        <v>2.5176233635448138E-2</v>
      </c>
      <c r="L66" s="5">
        <f>1+0</f>
        <v>1</v>
      </c>
      <c r="M66" s="97">
        <f t="shared" si="16"/>
        <v>1.2773023374632776E-2</v>
      </c>
      <c r="N66" s="5" t="s">
        <v>49</v>
      </c>
      <c r="O66" s="97" t="str">
        <f t="shared" si="17"/>
        <v>-</v>
      </c>
      <c r="P66" s="5" t="s">
        <v>49</v>
      </c>
      <c r="Q66" s="97" t="str">
        <f t="shared" si="18"/>
        <v>-</v>
      </c>
      <c r="R66" s="14" t="s">
        <v>220</v>
      </c>
      <c r="S66" s="97" t="str">
        <f t="shared" si="20"/>
        <v>-</v>
      </c>
      <c r="T66" s="14" t="s">
        <v>220</v>
      </c>
      <c r="U66" s="14" t="s">
        <v>220</v>
      </c>
    </row>
    <row r="67" spans="1:21" ht="20.100000000000001" customHeight="1">
      <c r="A67" s="24" t="s">
        <v>275</v>
      </c>
      <c r="B67" s="5" t="s">
        <v>9</v>
      </c>
      <c r="C67" s="97" t="str">
        <f t="shared" si="11"/>
        <v>-</v>
      </c>
      <c r="D67" s="5" t="s">
        <v>9</v>
      </c>
      <c r="E67" s="97" t="str">
        <f t="shared" si="12"/>
        <v>-</v>
      </c>
      <c r="F67" s="5" t="s">
        <v>9</v>
      </c>
      <c r="G67" s="97" t="str">
        <f t="shared" si="13"/>
        <v>-</v>
      </c>
      <c r="H67" s="5" t="s">
        <v>9</v>
      </c>
      <c r="I67" s="97" t="str">
        <f t="shared" si="14"/>
        <v>-</v>
      </c>
      <c r="J67" s="5">
        <f>1</f>
        <v>1</v>
      </c>
      <c r="K67" s="97">
        <f t="shared" si="15"/>
        <v>1.2588116817724069E-2</v>
      </c>
      <c r="L67" s="5" t="s">
        <v>9</v>
      </c>
      <c r="M67" s="97" t="str">
        <f t="shared" si="16"/>
        <v>-</v>
      </c>
      <c r="N67" s="5" t="s">
        <v>49</v>
      </c>
      <c r="O67" s="97" t="str">
        <f t="shared" si="17"/>
        <v>-</v>
      </c>
      <c r="P67" s="5" t="s">
        <v>49</v>
      </c>
      <c r="Q67" s="97" t="str">
        <f t="shared" si="18"/>
        <v>-</v>
      </c>
      <c r="R67" s="14" t="s">
        <v>220</v>
      </c>
      <c r="S67" s="97" t="str">
        <f t="shared" si="20"/>
        <v>-</v>
      </c>
      <c r="T67" s="14" t="s">
        <v>220</v>
      </c>
      <c r="U67" s="14" t="s">
        <v>220</v>
      </c>
    </row>
    <row r="68" spans="1:21" ht="20.100000000000001" customHeight="1">
      <c r="A68" s="24" t="s">
        <v>278</v>
      </c>
      <c r="B68" s="5" t="s">
        <v>9</v>
      </c>
      <c r="C68" s="97" t="str">
        <f t="shared" si="11"/>
        <v>-</v>
      </c>
      <c r="D68" s="5">
        <v>6</v>
      </c>
      <c r="E68" s="97">
        <f t="shared" si="12"/>
        <v>7.0028011204481794E-2</v>
      </c>
      <c r="F68" s="5" t="s">
        <v>9</v>
      </c>
      <c r="G68" s="97" t="str">
        <f t="shared" si="13"/>
        <v>-</v>
      </c>
      <c r="H68" s="5" t="s">
        <v>9</v>
      </c>
      <c r="I68" s="97" t="str">
        <f t="shared" si="14"/>
        <v>-</v>
      </c>
      <c r="J68" s="5">
        <v>1</v>
      </c>
      <c r="K68" s="97">
        <f t="shared" si="15"/>
        <v>1.2588116817724069E-2</v>
      </c>
      <c r="L68" s="5" t="s">
        <v>9</v>
      </c>
      <c r="M68" s="97" t="str">
        <f t="shared" si="16"/>
        <v>-</v>
      </c>
      <c r="N68" s="5" t="s">
        <v>49</v>
      </c>
      <c r="O68" s="97" t="str">
        <f t="shared" si="17"/>
        <v>-</v>
      </c>
      <c r="P68" s="5" t="s">
        <v>49</v>
      </c>
      <c r="Q68" s="97" t="str">
        <f t="shared" si="18"/>
        <v>-</v>
      </c>
      <c r="R68" s="14" t="s">
        <v>220</v>
      </c>
      <c r="S68" s="97" t="str">
        <f t="shared" si="20"/>
        <v>-</v>
      </c>
      <c r="T68" s="14" t="s">
        <v>220</v>
      </c>
      <c r="U68" s="14" t="s">
        <v>220</v>
      </c>
    </row>
    <row r="69" spans="1:21" ht="20.100000000000001" customHeight="1">
      <c r="A69" s="24" t="s">
        <v>285</v>
      </c>
      <c r="B69" s="5" t="s">
        <v>9</v>
      </c>
      <c r="C69" s="97" t="str">
        <f t="shared" si="11"/>
        <v>-</v>
      </c>
      <c r="D69" s="5" t="s">
        <v>9</v>
      </c>
      <c r="E69" s="97" t="str">
        <f t="shared" si="12"/>
        <v>-</v>
      </c>
      <c r="F69" s="5" t="s">
        <v>9</v>
      </c>
      <c r="G69" s="97" t="str">
        <f t="shared" si="13"/>
        <v>-</v>
      </c>
      <c r="H69" s="5">
        <v>1</v>
      </c>
      <c r="I69" s="97">
        <f t="shared" si="14"/>
        <v>1.1837121212121212E-2</v>
      </c>
      <c r="J69" s="5">
        <v>1</v>
      </c>
      <c r="K69" s="97">
        <f t="shared" si="15"/>
        <v>1.2588116817724069E-2</v>
      </c>
      <c r="L69" s="5" t="s">
        <v>9</v>
      </c>
      <c r="M69" s="97" t="str">
        <f t="shared" si="16"/>
        <v>-</v>
      </c>
      <c r="N69" s="5" t="s">
        <v>49</v>
      </c>
      <c r="O69" s="97" t="str">
        <f t="shared" si="17"/>
        <v>-</v>
      </c>
      <c r="P69" s="5" t="s">
        <v>49</v>
      </c>
      <c r="Q69" s="97" t="str">
        <f t="shared" si="18"/>
        <v>-</v>
      </c>
      <c r="R69" s="14" t="s">
        <v>220</v>
      </c>
      <c r="S69" s="97" t="str">
        <f t="shared" si="20"/>
        <v>-</v>
      </c>
      <c r="T69" s="97" t="s">
        <v>220</v>
      </c>
      <c r="U69" s="97" t="s">
        <v>220</v>
      </c>
    </row>
    <row r="70" spans="1:21" ht="20.100000000000001" customHeight="1">
      <c r="A70" s="94" t="s">
        <v>282</v>
      </c>
      <c r="B70" s="5" t="s">
        <v>9</v>
      </c>
      <c r="C70" s="97" t="str">
        <f t="shared" si="11"/>
        <v>-</v>
      </c>
      <c r="D70" s="5">
        <v>1</v>
      </c>
      <c r="E70" s="97">
        <f t="shared" si="12"/>
        <v>1.1671335200746966E-2</v>
      </c>
      <c r="F70" s="5" t="s">
        <v>9</v>
      </c>
      <c r="G70" s="97" t="str">
        <f t="shared" si="13"/>
        <v>-</v>
      </c>
      <c r="H70" s="5">
        <v>1</v>
      </c>
      <c r="I70" s="97">
        <f t="shared" si="14"/>
        <v>1.1837121212121212E-2</v>
      </c>
      <c r="J70" s="5" t="s">
        <v>9</v>
      </c>
      <c r="K70" s="97" t="str">
        <f t="shared" si="15"/>
        <v>-</v>
      </c>
      <c r="L70" s="5" t="s">
        <v>9</v>
      </c>
      <c r="M70" s="97" t="str">
        <f t="shared" si="16"/>
        <v>-</v>
      </c>
      <c r="N70" s="5" t="s">
        <v>49</v>
      </c>
      <c r="O70" s="97" t="str">
        <f t="shared" si="17"/>
        <v>-</v>
      </c>
      <c r="P70" s="5" t="s">
        <v>49</v>
      </c>
      <c r="Q70" s="97" t="str">
        <f t="shared" si="18"/>
        <v>-</v>
      </c>
      <c r="R70" s="14" t="s">
        <v>220</v>
      </c>
      <c r="S70" s="97" t="str">
        <f t="shared" si="20"/>
        <v>-</v>
      </c>
      <c r="T70" s="14" t="s">
        <v>220</v>
      </c>
      <c r="U70" s="14" t="s">
        <v>220</v>
      </c>
    </row>
    <row r="71" spans="1:21" ht="20.100000000000001" customHeight="1">
      <c r="A71" s="24" t="s">
        <v>265</v>
      </c>
      <c r="B71" s="5" t="s">
        <v>9</v>
      </c>
      <c r="C71" s="97" t="str">
        <f t="shared" si="11"/>
        <v>-</v>
      </c>
      <c r="D71" s="5">
        <v>3</v>
      </c>
      <c r="E71" s="97">
        <f t="shared" si="12"/>
        <v>3.5014005602240897E-2</v>
      </c>
      <c r="F71" s="5" t="s">
        <v>9</v>
      </c>
      <c r="G71" s="97" t="str">
        <f t="shared" si="13"/>
        <v>-</v>
      </c>
      <c r="H71" s="5" t="s">
        <v>9</v>
      </c>
      <c r="I71" s="97" t="str">
        <f t="shared" si="14"/>
        <v>-</v>
      </c>
      <c r="J71" s="5" t="s">
        <v>9</v>
      </c>
      <c r="K71" s="97" t="str">
        <f t="shared" si="15"/>
        <v>-</v>
      </c>
      <c r="L71" s="5" t="s">
        <v>9</v>
      </c>
      <c r="M71" s="97" t="str">
        <f t="shared" si="16"/>
        <v>-</v>
      </c>
      <c r="N71" s="5" t="s">
        <v>49</v>
      </c>
      <c r="O71" s="97" t="str">
        <f t="shared" si="17"/>
        <v>-</v>
      </c>
      <c r="P71" s="5" t="s">
        <v>49</v>
      </c>
      <c r="Q71" s="97" t="str">
        <f t="shared" si="18"/>
        <v>-</v>
      </c>
      <c r="R71" s="14" t="s">
        <v>220</v>
      </c>
      <c r="S71" s="97" t="str">
        <f t="shared" si="20"/>
        <v>-</v>
      </c>
      <c r="T71" s="14" t="s">
        <v>220</v>
      </c>
      <c r="U71" s="14" t="s">
        <v>220</v>
      </c>
    </row>
    <row r="72" spans="1:21" ht="20.100000000000001" customHeight="1">
      <c r="A72" s="35" t="s">
        <v>280</v>
      </c>
      <c r="B72" s="7" t="s">
        <v>9</v>
      </c>
      <c r="C72" s="98" t="str">
        <f t="shared" si="11"/>
        <v>-</v>
      </c>
      <c r="D72" s="7">
        <v>1</v>
      </c>
      <c r="E72" s="98">
        <f t="shared" si="12"/>
        <v>1.1671335200746966E-2</v>
      </c>
      <c r="F72" s="7" t="s">
        <v>9</v>
      </c>
      <c r="G72" s="98" t="str">
        <f t="shared" si="13"/>
        <v>-</v>
      </c>
      <c r="H72" s="7" t="s">
        <v>9</v>
      </c>
      <c r="I72" s="98" t="str">
        <f t="shared" si="14"/>
        <v>-</v>
      </c>
      <c r="J72" s="7" t="s">
        <v>9</v>
      </c>
      <c r="K72" s="98" t="str">
        <f t="shared" si="15"/>
        <v>-</v>
      </c>
      <c r="L72" s="7" t="s">
        <v>9</v>
      </c>
      <c r="M72" s="98" t="str">
        <f t="shared" si="16"/>
        <v>-</v>
      </c>
      <c r="N72" s="7" t="s">
        <v>49</v>
      </c>
      <c r="O72" s="98" t="str">
        <f t="shared" si="17"/>
        <v>-</v>
      </c>
      <c r="P72" s="7" t="s">
        <v>49</v>
      </c>
      <c r="Q72" s="98" t="str">
        <f t="shared" si="18"/>
        <v>-</v>
      </c>
      <c r="R72" s="51" t="s">
        <v>220</v>
      </c>
      <c r="S72" s="98" t="str">
        <f t="shared" si="20"/>
        <v>-</v>
      </c>
      <c r="T72" s="51" t="s">
        <v>220</v>
      </c>
      <c r="U72" s="51" t="s">
        <v>220</v>
      </c>
    </row>
    <row r="73" spans="1:21">
      <c r="A73" s="71" t="s">
        <v>134</v>
      </c>
      <c r="B73" s="100"/>
      <c r="C73" s="95"/>
      <c r="D73" s="100"/>
      <c r="E73" s="95"/>
      <c r="F73" s="100"/>
      <c r="G73" s="95"/>
      <c r="H73" s="100"/>
      <c r="I73" s="95"/>
      <c r="J73" s="100"/>
      <c r="K73" s="95"/>
      <c r="L73" s="100"/>
      <c r="M73" s="95"/>
      <c r="N73" s="100"/>
      <c r="O73" s="95"/>
      <c r="P73" s="100"/>
      <c r="Q73" s="95"/>
      <c r="R73" s="52"/>
      <c r="S73" s="57"/>
      <c r="T73" s="57"/>
      <c r="U73" s="57"/>
    </row>
    <row r="74" spans="1:21">
      <c r="A74" s="470" t="s">
        <v>524</v>
      </c>
      <c r="B74" s="470"/>
      <c r="C74" s="470"/>
      <c r="D74" s="470"/>
      <c r="E74" s="470"/>
      <c r="F74" s="470"/>
      <c r="G74" s="470"/>
      <c r="H74" s="470"/>
      <c r="I74" s="470"/>
      <c r="J74" s="470"/>
      <c r="K74" s="470"/>
      <c r="L74" s="470"/>
      <c r="M74" s="470"/>
      <c r="N74" s="470"/>
      <c r="O74" s="470"/>
      <c r="P74" s="470"/>
      <c r="Q74" s="470"/>
      <c r="R74" s="196"/>
      <c r="S74" s="203"/>
      <c r="T74" s="203"/>
      <c r="U74" s="203"/>
    </row>
    <row r="75" spans="1:21">
      <c r="A75" s="102"/>
      <c r="B75" s="100"/>
      <c r="C75" s="95"/>
      <c r="D75" s="100"/>
      <c r="E75" s="95"/>
      <c r="F75" s="100"/>
      <c r="G75" s="95"/>
      <c r="H75" s="100"/>
      <c r="I75" s="95"/>
      <c r="J75" s="100"/>
      <c r="K75" s="95"/>
      <c r="L75" s="100"/>
      <c r="M75" s="95"/>
      <c r="N75" s="100"/>
      <c r="O75" s="95"/>
      <c r="P75" s="100"/>
      <c r="Q75" s="95"/>
      <c r="R75" s="52"/>
      <c r="S75" s="57"/>
      <c r="T75" s="57"/>
      <c r="U75" s="57"/>
    </row>
  </sheetData>
  <sortState ref="A66:W74">
    <sortCondition descending="1" ref="J66:J74"/>
  </sortState>
  <mergeCells count="12">
    <mergeCell ref="A1:U1"/>
    <mergeCell ref="T2:U2"/>
    <mergeCell ref="P2:Q2"/>
    <mergeCell ref="R2:S2"/>
    <mergeCell ref="A74:Q74"/>
    <mergeCell ref="B2:C2"/>
    <mergeCell ref="D2:E2"/>
    <mergeCell ref="F2:G2"/>
    <mergeCell ref="H2:I2"/>
    <mergeCell ref="J2:K2"/>
    <mergeCell ref="L2:M2"/>
    <mergeCell ref="N2:O2"/>
  </mergeCells>
  <phoneticPr fontId="2" type="noConversion"/>
  <conditionalFormatting sqref="V5:AN27">
    <cfRule type="cellIs" dxfId="3" priority="1" operator="equal">
      <formula>2</formula>
    </cfRule>
    <cfRule type="cellIs" dxfId="2" priority="2" operator="equal">
      <formula>1</formula>
    </cfRule>
  </conditionalFormatting>
  <hyperlinks>
    <hyperlink ref="V1" location="本篇表次!A1" display="回本篇表次"/>
  </hyperlinks>
  <printOptions horizontalCentered="1" verticalCentered="1"/>
  <pageMargins left="0.70866141732283472" right="0.70866141732283472" top="0.74803149606299213" bottom="0.74803149606299213" header="0.31496062992125984" footer="0.31496062992125984"/>
  <pageSetup paperSize="224" scale="4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27"/>
  <sheetViews>
    <sheetView showGridLines="0" zoomScale="120" zoomScaleNormal="120" workbookViewId="0">
      <pane xSplit="1" topLeftCell="B1" activePane="topRight" state="frozen"/>
      <selection activeCell="G17" sqref="G17"/>
      <selection pane="topRight" sqref="A1:K1"/>
    </sheetView>
  </sheetViews>
  <sheetFormatPr defaultColWidth="9.375" defaultRowHeight="15.75"/>
  <cols>
    <col min="1" max="1" width="21.875" style="40" customWidth="1"/>
    <col min="2" max="2" width="10.125" style="40" customWidth="1"/>
    <col min="3" max="3" width="9.375" style="40" customWidth="1"/>
    <col min="4" max="4" width="8.375" style="40" customWidth="1"/>
    <col min="5" max="5" width="9.375" style="40" customWidth="1"/>
    <col min="6" max="6" width="11.125" style="40" customWidth="1"/>
    <col min="7" max="7" width="9.375" style="40" customWidth="1"/>
    <col min="8" max="8" width="11.125" style="40" customWidth="1"/>
    <col min="9" max="9" width="9.375" style="40" customWidth="1"/>
    <col min="10" max="10" width="10.125" style="40" customWidth="1"/>
    <col min="11" max="11" width="9.375" style="40" customWidth="1"/>
    <col min="12" max="12" width="12.625" style="40" bestFit="1" customWidth="1"/>
    <col min="13" max="16384" width="9.375" style="40"/>
  </cols>
  <sheetData>
    <row r="1" spans="1:12" ht="23.25" customHeight="1">
      <c r="A1" s="389" t="s">
        <v>211</v>
      </c>
      <c r="B1" s="389"/>
      <c r="C1" s="389"/>
      <c r="D1" s="389"/>
      <c r="E1" s="389"/>
      <c r="F1" s="389"/>
      <c r="G1" s="389"/>
      <c r="H1" s="389"/>
      <c r="I1" s="389"/>
      <c r="J1" s="389"/>
      <c r="K1" s="389"/>
      <c r="L1" s="295" t="s">
        <v>644</v>
      </c>
    </row>
    <row r="2" spans="1:12" ht="20.100000000000001" customHeight="1">
      <c r="A2" s="16"/>
      <c r="B2" s="395" t="s">
        <v>37</v>
      </c>
      <c r="C2" s="368"/>
      <c r="D2" s="395" t="s">
        <v>38</v>
      </c>
      <c r="E2" s="368"/>
      <c r="F2" s="395" t="s">
        <v>39</v>
      </c>
      <c r="G2" s="395"/>
      <c r="H2" s="395" t="s">
        <v>700</v>
      </c>
      <c r="I2" s="395"/>
      <c r="J2" s="395" t="s">
        <v>620</v>
      </c>
      <c r="K2" s="395"/>
    </row>
    <row r="3" spans="1:12" ht="20.100000000000001" customHeight="1">
      <c r="A3" s="4"/>
      <c r="B3" s="8" t="s">
        <v>102</v>
      </c>
      <c r="C3" s="8" t="s">
        <v>60</v>
      </c>
      <c r="D3" s="8" t="s">
        <v>102</v>
      </c>
      <c r="E3" s="8" t="s">
        <v>60</v>
      </c>
      <c r="F3" s="8" t="s">
        <v>102</v>
      </c>
      <c r="G3" s="8" t="s">
        <v>60</v>
      </c>
      <c r="H3" s="8" t="s">
        <v>102</v>
      </c>
      <c r="I3" s="8" t="s">
        <v>60</v>
      </c>
      <c r="J3" s="8" t="s">
        <v>102</v>
      </c>
      <c r="K3" s="8" t="s">
        <v>60</v>
      </c>
    </row>
    <row r="4" spans="1:12" ht="20.100000000000001" customHeight="1">
      <c r="A4" s="56" t="s">
        <v>325</v>
      </c>
      <c r="B4" s="29">
        <f>SUM(B5:B6)</f>
        <v>9359</v>
      </c>
      <c r="C4" s="36">
        <f t="shared" ref="C4:C13" si="0">B4/B$4*100</f>
        <v>100</v>
      </c>
      <c r="D4" s="29">
        <f>SUM(D5+D6)</f>
        <v>8568</v>
      </c>
      <c r="E4" s="36">
        <f>SUM(E7:E13)</f>
        <v>100</v>
      </c>
      <c r="F4" s="29">
        <f>SUM(F5:F6)</f>
        <v>8132</v>
      </c>
      <c r="G4" s="36">
        <f t="shared" ref="G4:G13" si="1">F4/F$4*100</f>
        <v>100</v>
      </c>
      <c r="H4" s="29">
        <f>SUM(H5,H6)</f>
        <v>8448</v>
      </c>
      <c r="I4" s="36">
        <f t="shared" ref="I4:I13" si="2">H4/H$4*100</f>
        <v>100</v>
      </c>
      <c r="J4" s="29">
        <f>SUM(J5,J6)</f>
        <v>7944</v>
      </c>
      <c r="K4" s="36">
        <f t="shared" ref="K4:K13" si="3">J4/J$4*100</f>
        <v>100</v>
      </c>
    </row>
    <row r="5" spans="1:12" ht="15.95" customHeight="1">
      <c r="A5" s="57" t="s">
        <v>326</v>
      </c>
      <c r="B5" s="58">
        <v>8144</v>
      </c>
      <c r="C5" s="36">
        <f t="shared" si="0"/>
        <v>87.017843786729358</v>
      </c>
      <c r="D5" s="58">
        <v>7410</v>
      </c>
      <c r="E5" s="36">
        <f t="shared" ref="E5:E13" si="4">D5/D$4*100</f>
        <v>86.484593837535016</v>
      </c>
      <c r="F5" s="58">
        <v>7042</v>
      </c>
      <c r="G5" s="36">
        <f t="shared" si="1"/>
        <v>86.59616330545991</v>
      </c>
      <c r="H5" s="5">
        <v>7351</v>
      </c>
      <c r="I5" s="36">
        <f t="shared" si="2"/>
        <v>87.014678030303031</v>
      </c>
      <c r="J5" s="58">
        <v>6907</v>
      </c>
      <c r="K5" s="36">
        <f t="shared" si="3"/>
        <v>86.946122860020139</v>
      </c>
    </row>
    <row r="6" spans="1:12" ht="17.100000000000001" customHeight="1">
      <c r="A6" s="59" t="s">
        <v>327</v>
      </c>
      <c r="B6" s="60">
        <v>1215</v>
      </c>
      <c r="C6" s="49">
        <f t="shared" si="0"/>
        <v>12.982156213270649</v>
      </c>
      <c r="D6" s="60">
        <v>1158</v>
      </c>
      <c r="E6" s="49">
        <f t="shared" si="4"/>
        <v>13.515406162464986</v>
      </c>
      <c r="F6" s="60">
        <v>1090</v>
      </c>
      <c r="G6" s="49">
        <f t="shared" si="1"/>
        <v>13.40383669454009</v>
      </c>
      <c r="H6" s="7">
        <v>1097</v>
      </c>
      <c r="I6" s="49">
        <f t="shared" si="2"/>
        <v>12.985321969696969</v>
      </c>
      <c r="J6" s="60">
        <v>1037</v>
      </c>
      <c r="K6" s="49">
        <f t="shared" si="3"/>
        <v>13.053877139979859</v>
      </c>
    </row>
    <row r="7" spans="1:12" ht="20.100000000000001" customHeight="1">
      <c r="A7" s="24" t="s">
        <v>701</v>
      </c>
      <c r="B7" s="5">
        <v>2</v>
      </c>
      <c r="C7" s="36">
        <f t="shared" si="0"/>
        <v>2.1369804466289135E-2</v>
      </c>
      <c r="D7" s="5">
        <v>5</v>
      </c>
      <c r="E7" s="36">
        <f t="shared" si="4"/>
        <v>5.8356676003734828E-2</v>
      </c>
      <c r="F7" s="5">
        <v>6</v>
      </c>
      <c r="G7" s="36">
        <f t="shared" si="1"/>
        <v>7.3782587309394979E-2</v>
      </c>
      <c r="H7" s="5">
        <v>7</v>
      </c>
      <c r="I7" s="36">
        <f t="shared" si="2"/>
        <v>8.2859848484848481E-2</v>
      </c>
      <c r="J7" s="5">
        <v>6</v>
      </c>
      <c r="K7" s="36">
        <f t="shared" si="3"/>
        <v>7.5528700906344406E-2</v>
      </c>
    </row>
    <row r="8" spans="1:12" ht="20.100000000000001" customHeight="1">
      <c r="A8" s="24" t="s">
        <v>702</v>
      </c>
      <c r="B8" s="5">
        <v>383</v>
      </c>
      <c r="C8" s="36">
        <f t="shared" si="0"/>
        <v>4.0923175552943691</v>
      </c>
      <c r="D8" s="5">
        <v>315</v>
      </c>
      <c r="E8" s="36">
        <f t="shared" si="4"/>
        <v>3.6764705882352944</v>
      </c>
      <c r="F8" s="5">
        <v>265</v>
      </c>
      <c r="G8" s="36">
        <f t="shared" si="1"/>
        <v>3.2587309394982786</v>
      </c>
      <c r="H8" s="5">
        <v>259</v>
      </c>
      <c r="I8" s="36">
        <f t="shared" si="2"/>
        <v>3.065814393939394</v>
      </c>
      <c r="J8" s="5">
        <v>223</v>
      </c>
      <c r="K8" s="36">
        <f t="shared" si="3"/>
        <v>2.8071500503524671</v>
      </c>
    </row>
    <row r="9" spans="1:12" ht="20.100000000000001" customHeight="1">
      <c r="A9" s="24" t="s">
        <v>703</v>
      </c>
      <c r="B9" s="5">
        <v>870</v>
      </c>
      <c r="C9" s="36">
        <f t="shared" si="0"/>
        <v>9.295864942835772</v>
      </c>
      <c r="D9" s="5">
        <v>746</v>
      </c>
      <c r="E9" s="36">
        <f t="shared" si="4"/>
        <v>8.7068160597572355</v>
      </c>
      <c r="F9" s="5">
        <v>614</v>
      </c>
      <c r="G9" s="36">
        <f t="shared" si="1"/>
        <v>7.5504181013280869</v>
      </c>
      <c r="H9" s="5">
        <v>592</v>
      </c>
      <c r="I9" s="36">
        <f t="shared" si="2"/>
        <v>7.0075757575757569</v>
      </c>
      <c r="J9" s="5">
        <v>466</v>
      </c>
      <c r="K9" s="36">
        <f t="shared" si="3"/>
        <v>5.8660624370594157</v>
      </c>
    </row>
    <row r="10" spans="1:12" ht="20.100000000000001" customHeight="1">
      <c r="A10" s="24" t="s">
        <v>704</v>
      </c>
      <c r="B10" s="5">
        <v>1344</v>
      </c>
      <c r="C10" s="36">
        <f t="shared" si="0"/>
        <v>14.360508601346297</v>
      </c>
      <c r="D10" s="5">
        <v>1192</v>
      </c>
      <c r="E10" s="36">
        <f t="shared" si="4"/>
        <v>13.912231559290383</v>
      </c>
      <c r="F10" s="5">
        <v>1134</v>
      </c>
      <c r="G10" s="36">
        <f t="shared" si="1"/>
        <v>13.944909001475652</v>
      </c>
      <c r="H10" s="5">
        <v>1011</v>
      </c>
      <c r="I10" s="36">
        <f t="shared" si="2"/>
        <v>11.967329545454545</v>
      </c>
      <c r="J10" s="5">
        <v>901</v>
      </c>
      <c r="K10" s="36">
        <f t="shared" si="3"/>
        <v>11.341893252769387</v>
      </c>
    </row>
    <row r="11" spans="1:12" ht="20.100000000000001" customHeight="1">
      <c r="A11" s="24" t="s">
        <v>705</v>
      </c>
      <c r="B11" s="5">
        <v>1601</v>
      </c>
      <c r="C11" s="36">
        <f t="shared" si="0"/>
        <v>17.106528475264451</v>
      </c>
      <c r="D11" s="5">
        <v>1519</v>
      </c>
      <c r="E11" s="36">
        <f t="shared" si="4"/>
        <v>17.72875816993464</v>
      </c>
      <c r="F11" s="5">
        <v>1543</v>
      </c>
      <c r="G11" s="36">
        <f t="shared" si="1"/>
        <v>18.97442203639941</v>
      </c>
      <c r="H11" s="5">
        <v>1610</v>
      </c>
      <c r="I11" s="36">
        <f t="shared" si="2"/>
        <v>19.057765151515152</v>
      </c>
      <c r="J11" s="5">
        <v>1312</v>
      </c>
      <c r="K11" s="36">
        <f t="shared" si="3"/>
        <v>16.515609264853978</v>
      </c>
    </row>
    <row r="12" spans="1:12" ht="20.100000000000001" customHeight="1">
      <c r="A12" s="24" t="s">
        <v>706</v>
      </c>
      <c r="B12" s="5">
        <v>2205</v>
      </c>
      <c r="C12" s="36">
        <f t="shared" si="0"/>
        <v>23.560209424083769</v>
      </c>
      <c r="D12" s="5">
        <v>1908</v>
      </c>
      <c r="E12" s="36">
        <f t="shared" si="4"/>
        <v>22.268907563025213</v>
      </c>
      <c r="F12" s="5">
        <v>2015</v>
      </c>
      <c r="G12" s="36">
        <f t="shared" si="1"/>
        <v>24.778652238071817</v>
      </c>
      <c r="H12" s="5">
        <v>2172</v>
      </c>
      <c r="I12" s="36">
        <f t="shared" si="2"/>
        <v>25.71022727272727</v>
      </c>
      <c r="J12" s="5">
        <v>2092</v>
      </c>
      <c r="K12" s="36">
        <f t="shared" si="3"/>
        <v>26.33434038267875</v>
      </c>
    </row>
    <row r="13" spans="1:12" ht="20.100000000000001" customHeight="1" thickBot="1">
      <c r="A13" s="35" t="s">
        <v>707</v>
      </c>
      <c r="B13" s="5">
        <v>2954</v>
      </c>
      <c r="C13" s="36">
        <f t="shared" si="0"/>
        <v>31.563201196709052</v>
      </c>
      <c r="D13" s="5">
        <v>2883</v>
      </c>
      <c r="E13" s="61">
        <f t="shared" si="4"/>
        <v>33.648459383753504</v>
      </c>
      <c r="F13" s="7">
        <v>2555</v>
      </c>
      <c r="G13" s="36">
        <f t="shared" si="1"/>
        <v>31.419085095917364</v>
      </c>
      <c r="H13" s="26">
        <v>2797</v>
      </c>
      <c r="I13" s="61">
        <f t="shared" si="2"/>
        <v>33.108428030303031</v>
      </c>
      <c r="J13" s="282">
        <v>2944</v>
      </c>
      <c r="K13" s="61">
        <f t="shared" si="3"/>
        <v>37.059415911379659</v>
      </c>
    </row>
    <row r="14" spans="1:12" ht="20.100000000000001" customHeight="1">
      <c r="A14" s="28"/>
      <c r="B14" s="473" t="s">
        <v>42</v>
      </c>
      <c r="C14" s="475"/>
      <c r="D14" s="473" t="s">
        <v>43</v>
      </c>
      <c r="E14" s="475"/>
      <c r="F14" s="473" t="s">
        <v>77</v>
      </c>
      <c r="G14" s="473"/>
      <c r="H14" s="474" t="s">
        <v>73</v>
      </c>
      <c r="I14" s="354"/>
      <c r="J14" s="474" t="s">
        <v>616</v>
      </c>
      <c r="K14" s="354"/>
    </row>
    <row r="15" spans="1:12" ht="20.100000000000001" customHeight="1">
      <c r="A15" s="4"/>
      <c r="B15" s="8" t="s">
        <v>102</v>
      </c>
      <c r="C15" s="8" t="s">
        <v>60</v>
      </c>
      <c r="D15" s="8" t="s">
        <v>102</v>
      </c>
      <c r="E15" s="8" t="s">
        <v>60</v>
      </c>
      <c r="F15" s="8" t="s">
        <v>102</v>
      </c>
      <c r="G15" s="8" t="s">
        <v>60</v>
      </c>
      <c r="H15" s="6" t="s">
        <v>219</v>
      </c>
      <c r="I15" s="8" t="s">
        <v>60</v>
      </c>
      <c r="J15" s="6" t="s">
        <v>219</v>
      </c>
      <c r="K15" s="8" t="s">
        <v>60</v>
      </c>
    </row>
    <row r="16" spans="1:12" ht="20.100000000000001" customHeight="1">
      <c r="A16" s="56" t="s">
        <v>325</v>
      </c>
      <c r="B16" s="29">
        <f>SUM(B19:B25)</f>
        <v>7829</v>
      </c>
      <c r="C16" s="96">
        <f>SUM(C17:C18)</f>
        <v>100</v>
      </c>
      <c r="D16" s="29">
        <f>SUM(D19:D25)</f>
        <v>8765</v>
      </c>
      <c r="E16" s="96">
        <f>SUM(E17:E18)</f>
        <v>100.00000000000001</v>
      </c>
      <c r="F16" s="29">
        <f>SUM(F19:F25)</f>
        <v>8121</v>
      </c>
      <c r="G16" s="96">
        <f>SUM(G17:G18)</f>
        <v>100</v>
      </c>
      <c r="H16" s="29">
        <v>8987</v>
      </c>
      <c r="I16" s="204">
        <f>SUM(I17:I18)</f>
        <v>100</v>
      </c>
      <c r="J16" s="29">
        <v>8951</v>
      </c>
      <c r="K16" s="204">
        <f>SUM(K17:K18)</f>
        <v>100</v>
      </c>
    </row>
    <row r="17" spans="1:11" ht="16.5">
      <c r="A17" s="57" t="s">
        <v>326</v>
      </c>
      <c r="B17" s="58">
        <v>6803</v>
      </c>
      <c r="C17" s="97">
        <f t="shared" ref="C17:C25" si="5">B17/B$16*100</f>
        <v>86.89487801762678</v>
      </c>
      <c r="D17" s="5">
        <f>7009+602</f>
        <v>7611</v>
      </c>
      <c r="E17" s="97">
        <f>D17/D$16*100</f>
        <v>86.833998859098699</v>
      </c>
      <c r="F17" s="5">
        <f>6501+530</f>
        <v>7031</v>
      </c>
      <c r="G17" s="97">
        <f>F17/F$16*100</f>
        <v>86.578007634527765</v>
      </c>
      <c r="H17" s="5">
        <f>7068+712</f>
        <v>7780</v>
      </c>
      <c r="I17" s="204">
        <f>H17/H$16*100</f>
        <v>86.569489262267723</v>
      </c>
      <c r="J17" s="5">
        <f>6781+945</f>
        <v>7726</v>
      </c>
      <c r="K17" s="204">
        <f>J17/J$16*100</f>
        <v>86.314378281756234</v>
      </c>
    </row>
    <row r="18" spans="1:11" ht="17.100000000000001" customHeight="1">
      <c r="A18" s="59" t="s">
        <v>327</v>
      </c>
      <c r="B18" s="60">
        <v>1026</v>
      </c>
      <c r="C18" s="98">
        <f t="shared" si="5"/>
        <v>13.105121982373227</v>
      </c>
      <c r="D18" s="7">
        <f>1005+149</f>
        <v>1154</v>
      </c>
      <c r="E18" s="98">
        <f>D18/D$16*100</f>
        <v>13.166001140901312</v>
      </c>
      <c r="F18" s="7">
        <f>961+129</f>
        <v>1090</v>
      </c>
      <c r="G18" s="98">
        <f>F18/F$16*100</f>
        <v>13.421992365472232</v>
      </c>
      <c r="H18" s="7">
        <f>1010+197</f>
        <v>1207</v>
      </c>
      <c r="I18" s="205">
        <f>H18/H$16*100</f>
        <v>13.430510737732279</v>
      </c>
      <c r="J18" s="7">
        <f>970+255</f>
        <v>1225</v>
      </c>
      <c r="K18" s="205">
        <f>J18/J$16*100</f>
        <v>13.685621718243771</v>
      </c>
    </row>
    <row r="19" spans="1:11" ht="20.100000000000001" customHeight="1">
      <c r="A19" s="24" t="s">
        <v>701</v>
      </c>
      <c r="B19" s="5">
        <v>4</v>
      </c>
      <c r="C19" s="97">
        <f t="shared" si="5"/>
        <v>5.1092093498531103E-2</v>
      </c>
      <c r="D19" s="5" t="s">
        <v>50</v>
      </c>
      <c r="E19" s="97" t="s">
        <v>50</v>
      </c>
      <c r="F19" s="5" t="s">
        <v>220</v>
      </c>
      <c r="G19" s="97" t="s">
        <v>50</v>
      </c>
      <c r="H19" s="5" t="s">
        <v>220</v>
      </c>
      <c r="I19" s="5" t="s">
        <v>220</v>
      </c>
      <c r="J19" s="5" t="s">
        <v>220</v>
      </c>
      <c r="K19" s="5" t="s">
        <v>220</v>
      </c>
    </row>
    <row r="20" spans="1:11" ht="20.100000000000001" customHeight="1">
      <c r="A20" s="24" t="s">
        <v>702</v>
      </c>
      <c r="B20" s="5">
        <f>208+24</f>
        <v>232</v>
      </c>
      <c r="C20" s="97">
        <f t="shared" si="5"/>
        <v>2.9633414229148038</v>
      </c>
      <c r="D20" s="5">
        <f>227+20</f>
        <v>247</v>
      </c>
      <c r="E20" s="97">
        <f t="shared" ref="E20:E25" si="6">D20/D$16*100</f>
        <v>2.8180262407301768</v>
      </c>
      <c r="F20" s="5">
        <v>202</v>
      </c>
      <c r="G20" s="97">
        <f t="shared" ref="G20:G25" si="7">F20/F$16*100</f>
        <v>2.4873784016746709</v>
      </c>
      <c r="H20" s="5">
        <f>223+27</f>
        <v>250</v>
      </c>
      <c r="I20" s="204">
        <f t="shared" ref="I20:I25" si="8">H20/H$16*100</f>
        <v>2.7817959274507622</v>
      </c>
      <c r="J20" s="5">
        <f>167+50+24+17</f>
        <v>258</v>
      </c>
      <c r="K20" s="204">
        <f>J20/J$16*100</f>
        <v>2.8823595129035864</v>
      </c>
    </row>
    <row r="21" spans="1:11" ht="20.100000000000001" customHeight="1">
      <c r="A21" s="24" t="s">
        <v>703</v>
      </c>
      <c r="B21" s="5">
        <f>477+31</f>
        <v>508</v>
      </c>
      <c r="C21" s="97">
        <f t="shared" si="5"/>
        <v>6.4886958743134509</v>
      </c>
      <c r="D21" s="5">
        <f>497+68</f>
        <v>565</v>
      </c>
      <c r="E21" s="97">
        <f t="shared" si="6"/>
        <v>6.4460924130062756</v>
      </c>
      <c r="F21" s="5">
        <v>581</v>
      </c>
      <c r="G21" s="97">
        <f t="shared" si="7"/>
        <v>7.1542913434306117</v>
      </c>
      <c r="H21" s="5">
        <f>497+104</f>
        <v>601</v>
      </c>
      <c r="I21" s="204">
        <f t="shared" si="8"/>
        <v>6.6874374095916318</v>
      </c>
      <c r="J21" s="5">
        <f>66+34+113+502</f>
        <v>715</v>
      </c>
      <c r="K21" s="204">
        <f t="shared" ref="K21:K25" si="9">J21/J$16*100</f>
        <v>7.9879343090157526</v>
      </c>
    </row>
    <row r="22" spans="1:11" ht="20.100000000000001" customHeight="1">
      <c r="A22" s="24" t="s">
        <v>704</v>
      </c>
      <c r="B22" s="5">
        <f>850+80</f>
        <v>930</v>
      </c>
      <c r="C22" s="97">
        <f t="shared" si="5"/>
        <v>11.878911738408481</v>
      </c>
      <c r="D22" s="5">
        <f>1059+118</f>
        <v>1177</v>
      </c>
      <c r="E22" s="97">
        <f t="shared" si="6"/>
        <v>13.42840844266971</v>
      </c>
      <c r="F22" s="5">
        <v>1068</v>
      </c>
      <c r="G22" s="97">
        <f t="shared" si="7"/>
        <v>13.15108976727004</v>
      </c>
      <c r="H22" s="5">
        <f>1018+173</f>
        <v>1191</v>
      </c>
      <c r="I22" s="204">
        <f t="shared" si="8"/>
        <v>13.252475798375432</v>
      </c>
      <c r="J22" s="5">
        <f>870+187+150+54</f>
        <v>1261</v>
      </c>
      <c r="K22" s="204">
        <f t="shared" si="9"/>
        <v>14.08781141771869</v>
      </c>
    </row>
    <row r="23" spans="1:11" ht="20.100000000000001" customHeight="1">
      <c r="A23" s="24" t="s">
        <v>705</v>
      </c>
      <c r="B23" s="5">
        <f>1281+118</f>
        <v>1399</v>
      </c>
      <c r="C23" s="97">
        <f t="shared" si="5"/>
        <v>17.869459701111253</v>
      </c>
      <c r="D23" s="5">
        <f>1464+144</f>
        <v>1608</v>
      </c>
      <c r="E23" s="97">
        <f t="shared" si="6"/>
        <v>18.345693097547063</v>
      </c>
      <c r="F23" s="5">
        <v>1480</v>
      </c>
      <c r="G23" s="97">
        <f t="shared" si="7"/>
        <v>18.22435660632927</v>
      </c>
      <c r="H23" s="5">
        <f>1569+182</f>
        <v>1751</v>
      </c>
      <c r="I23" s="204">
        <f t="shared" si="8"/>
        <v>19.483698675865138</v>
      </c>
      <c r="J23" s="5">
        <f>183+52+1458+163</f>
        <v>1856</v>
      </c>
      <c r="K23" s="204">
        <f t="shared" si="9"/>
        <v>20.73511339515138</v>
      </c>
    </row>
    <row r="24" spans="1:11" ht="20.100000000000001" customHeight="1">
      <c r="A24" s="24" t="s">
        <v>706</v>
      </c>
      <c r="B24" s="5">
        <f>1815+151</f>
        <v>1966</v>
      </c>
      <c r="C24" s="97">
        <f t="shared" si="5"/>
        <v>25.111763954528037</v>
      </c>
      <c r="D24" s="5">
        <f>2034+164</f>
        <v>2198</v>
      </c>
      <c r="E24" s="97">
        <f t="shared" si="6"/>
        <v>25.077010838562465</v>
      </c>
      <c r="F24" s="5">
        <v>2057</v>
      </c>
      <c r="G24" s="97">
        <f t="shared" si="7"/>
        <v>25.329392931904938</v>
      </c>
      <c r="H24" s="5">
        <f>2045+184</f>
        <v>2229</v>
      </c>
      <c r="I24" s="204">
        <f t="shared" si="8"/>
        <v>24.802492489150996</v>
      </c>
      <c r="J24" s="5">
        <f>1626+209+227+34</f>
        <v>2096</v>
      </c>
      <c r="K24" s="204">
        <f t="shared" si="9"/>
        <v>23.416378058317505</v>
      </c>
    </row>
    <row r="25" spans="1:11" ht="20.100000000000001" customHeight="1">
      <c r="A25" s="35" t="s">
        <v>707</v>
      </c>
      <c r="B25" s="7">
        <f>2534+256</f>
        <v>2790</v>
      </c>
      <c r="C25" s="98">
        <f t="shared" si="5"/>
        <v>35.636735215225443</v>
      </c>
      <c r="D25" s="7">
        <f>2733+237</f>
        <v>2970</v>
      </c>
      <c r="E25" s="98">
        <f t="shared" si="6"/>
        <v>33.884768967484312</v>
      </c>
      <c r="F25" s="7">
        <v>2733</v>
      </c>
      <c r="G25" s="98">
        <f t="shared" si="7"/>
        <v>33.653490949390466</v>
      </c>
      <c r="H25" s="7">
        <f>2726+239</f>
        <v>2965</v>
      </c>
      <c r="I25" s="205">
        <f t="shared" si="8"/>
        <v>32.99209969956604</v>
      </c>
      <c r="J25" s="7">
        <f>295+64+2158+248</f>
        <v>2765</v>
      </c>
      <c r="K25" s="205">
        <f t="shared" si="9"/>
        <v>30.890403306893084</v>
      </c>
    </row>
    <row r="26" spans="1:11" ht="15.95" customHeight="1">
      <c r="A26" s="471" t="s">
        <v>134</v>
      </c>
      <c r="B26" s="472"/>
      <c r="C26" s="472"/>
      <c r="D26" s="56"/>
      <c r="E26" s="99"/>
      <c r="F26" s="56"/>
      <c r="G26" s="56"/>
      <c r="H26" s="100"/>
      <c r="I26" s="56"/>
      <c r="J26" s="56"/>
      <c r="K26" s="56"/>
    </row>
    <row r="27" spans="1:11">
      <c r="A27" s="470" t="s">
        <v>708</v>
      </c>
      <c r="B27" s="470"/>
      <c r="C27" s="470"/>
      <c r="D27" s="470"/>
      <c r="E27" s="470"/>
      <c r="F27" s="470"/>
      <c r="G27" s="470"/>
      <c r="H27" s="470"/>
      <c r="I27" s="470"/>
      <c r="J27" s="470"/>
      <c r="K27" s="470"/>
    </row>
  </sheetData>
  <mergeCells count="13">
    <mergeCell ref="A26:C26"/>
    <mergeCell ref="A27:K27"/>
    <mergeCell ref="A1:K1"/>
    <mergeCell ref="F2:G2"/>
    <mergeCell ref="H2:I2"/>
    <mergeCell ref="F14:G14"/>
    <mergeCell ref="H14:I14"/>
    <mergeCell ref="B2:C2"/>
    <mergeCell ref="D2:E2"/>
    <mergeCell ref="D14:E14"/>
    <mergeCell ref="J2:K2"/>
    <mergeCell ref="B14:C14"/>
    <mergeCell ref="J14:K14"/>
  </mergeCells>
  <phoneticPr fontId="2" type="noConversion"/>
  <hyperlinks>
    <hyperlink ref="L1" location="本篇表次!A1" display="回本篇表次"/>
  </hyperlinks>
  <printOptions horizontalCentered="1" verticalCentered="1"/>
  <pageMargins left="0.70866141732283472" right="0.70866141732283472" top="0.74803149606299213" bottom="0.74803149606299213" header="0.31496062992125984" footer="0.31496062992125984"/>
  <pageSetup paperSize="224"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56"/>
  <sheetViews>
    <sheetView showGridLines="0" zoomScale="80" zoomScaleNormal="80" workbookViewId="0">
      <pane xSplit="1" ySplit="2" topLeftCell="B3" activePane="bottomRight" state="frozen"/>
      <selection activeCell="G17" sqref="G17"/>
      <selection pane="topRight" activeCell="G17" sqref="G17"/>
      <selection pane="bottomLeft" activeCell="G17" sqref="G17"/>
      <selection pane="bottomRight" sqref="A1:O1"/>
    </sheetView>
  </sheetViews>
  <sheetFormatPr defaultColWidth="11" defaultRowHeight="15.75"/>
  <cols>
    <col min="1" max="1" width="27.125" style="40" bestFit="1" customWidth="1"/>
    <col min="2" max="3" width="9" style="40" customWidth="1"/>
    <col min="4" max="15" width="9.875" style="40" customWidth="1"/>
    <col min="16" max="16" width="13.375" style="40" bestFit="1" customWidth="1"/>
    <col min="17" max="16384" width="11" style="40"/>
  </cols>
  <sheetData>
    <row r="1" spans="1:17" ht="24" customHeight="1">
      <c r="A1" s="478" t="s">
        <v>621</v>
      </c>
      <c r="B1" s="389"/>
      <c r="C1" s="389"/>
      <c r="D1" s="389"/>
      <c r="E1" s="389"/>
      <c r="F1" s="389"/>
      <c r="G1" s="389"/>
      <c r="H1" s="389"/>
      <c r="I1" s="389"/>
      <c r="J1" s="389"/>
      <c r="K1" s="389"/>
      <c r="L1" s="389"/>
      <c r="M1" s="389"/>
      <c r="N1" s="389"/>
      <c r="O1" s="389"/>
      <c r="P1" s="242" t="s">
        <v>548</v>
      </c>
    </row>
    <row r="2" spans="1:17" ht="20.100000000000001" customHeight="1">
      <c r="A2" s="391"/>
      <c r="B2" s="479" t="s">
        <v>108</v>
      </c>
      <c r="C2" s="479"/>
      <c r="D2" s="479" t="s">
        <v>525</v>
      </c>
      <c r="E2" s="479"/>
      <c r="F2" s="476" t="s">
        <v>526</v>
      </c>
      <c r="G2" s="476"/>
      <c r="H2" s="476" t="s">
        <v>527</v>
      </c>
      <c r="I2" s="476"/>
      <c r="J2" s="476" t="s">
        <v>528</v>
      </c>
      <c r="K2" s="476"/>
      <c r="L2" s="476" t="s">
        <v>529</v>
      </c>
      <c r="M2" s="476"/>
      <c r="N2" s="476" t="s">
        <v>530</v>
      </c>
      <c r="O2" s="476"/>
    </row>
    <row r="3" spans="1:17" ht="20.100000000000001" customHeight="1">
      <c r="A3" s="392"/>
      <c r="B3" s="17" t="s">
        <v>170</v>
      </c>
      <c r="C3" s="218" t="s">
        <v>60</v>
      </c>
      <c r="D3" s="219" t="s">
        <v>170</v>
      </c>
      <c r="E3" s="218" t="s">
        <v>60</v>
      </c>
      <c r="F3" s="17" t="s">
        <v>170</v>
      </c>
      <c r="G3" s="218" t="s">
        <v>60</v>
      </c>
      <c r="H3" s="17" t="s">
        <v>170</v>
      </c>
      <c r="I3" s="218" t="s">
        <v>60</v>
      </c>
      <c r="J3" s="17" t="s">
        <v>170</v>
      </c>
      <c r="K3" s="218" t="s">
        <v>60</v>
      </c>
      <c r="L3" s="17" t="s">
        <v>170</v>
      </c>
      <c r="M3" s="218" t="s">
        <v>60</v>
      </c>
      <c r="N3" s="17" t="s">
        <v>170</v>
      </c>
      <c r="O3" s="218" t="s">
        <v>60</v>
      </c>
    </row>
    <row r="4" spans="1:17" ht="20.100000000000001" customHeight="1">
      <c r="A4" s="120" t="s">
        <v>108</v>
      </c>
      <c r="B4" s="50">
        <f>SUM(D4,F4,H4,J4,L4,N4)</f>
        <v>8951</v>
      </c>
      <c r="C4" s="116">
        <f>SUM(C5:C52)</f>
        <v>99.999999999999972</v>
      </c>
      <c r="D4" s="50">
        <f>SUM(D5:D52)</f>
        <v>258</v>
      </c>
      <c r="E4" s="116">
        <f>SUM(E5:E48)</f>
        <v>99.999999999999957</v>
      </c>
      <c r="F4" s="50">
        <f>SUM(F5:F52)</f>
        <v>715</v>
      </c>
      <c r="G4" s="116">
        <f>SUM(G5:G56)</f>
        <v>99.999999999999943</v>
      </c>
      <c r="H4" s="50">
        <f>SUM(H5:H52)</f>
        <v>1261</v>
      </c>
      <c r="I4" s="116">
        <f>SUM(I5:I52)</f>
        <v>99.999999999999972</v>
      </c>
      <c r="J4" s="50">
        <f>SUM(J5:J52)</f>
        <v>1856</v>
      </c>
      <c r="K4" s="116">
        <f t="shared" ref="K4" si="0">SUM(K5:K48)</f>
        <v>100</v>
      </c>
      <c r="L4" s="50">
        <f>SUM(L5:L52)</f>
        <v>2096</v>
      </c>
      <c r="M4" s="116">
        <f>SUM(M5:M52)</f>
        <v>99.999999999999929</v>
      </c>
      <c r="N4" s="50">
        <f>SUM(N5:N52)</f>
        <v>2765</v>
      </c>
      <c r="O4" s="116">
        <f>SUM(O5:O52)</f>
        <v>100.00000000000001</v>
      </c>
    </row>
    <row r="5" spans="1:17" ht="20.100000000000001" customHeight="1">
      <c r="A5" s="120" t="s">
        <v>172</v>
      </c>
      <c r="B5" s="14">
        <f t="shared" ref="B5:B11" si="1">SUM(D5+F5+H5+J5+L5+N5)</f>
        <v>1432</v>
      </c>
      <c r="C5" s="15">
        <f t="shared" ref="C5:C25" si="2">IFERROR(B5/B$4*100,"-")</f>
        <v>15.998212490224557</v>
      </c>
      <c r="D5" s="220">
        <f>12+2</f>
        <v>14</v>
      </c>
      <c r="E5" s="15">
        <f t="shared" ref="E5:E13" si="3">IFERROR(D5/D$4*100,"-")</f>
        <v>5.4263565891472867</v>
      </c>
      <c r="F5" s="220">
        <f>36+6</f>
        <v>42</v>
      </c>
      <c r="G5" s="15">
        <f t="shared" ref="G5:G20" si="4">IFERROR(F5/F$4*100,"-")</f>
        <v>5.8741258741258742</v>
      </c>
      <c r="H5" s="220">
        <f>82+17</f>
        <v>99</v>
      </c>
      <c r="I5" s="15">
        <f t="shared" ref="I5:I25" si="5">IFERROR(H5/H$4*100,)</f>
        <v>7.8509119746233145</v>
      </c>
      <c r="J5" s="220">
        <f>219+31</f>
        <v>250</v>
      </c>
      <c r="K5" s="15">
        <f t="shared" ref="K5:K25" si="6">IFERROR(J5/J$4*100,"-")</f>
        <v>13.469827586206899</v>
      </c>
      <c r="L5" s="220">
        <f>356+55</f>
        <v>411</v>
      </c>
      <c r="M5" s="15">
        <f t="shared" ref="M5:M23" si="7">IFERROR(L5/L$4*100,"-")</f>
        <v>19.608778625954198</v>
      </c>
      <c r="N5" s="220">
        <f>542+74</f>
        <v>616</v>
      </c>
      <c r="O5" s="15">
        <f t="shared" ref="O5:O25" si="8">IFERROR(N5/N$4*100,"-")</f>
        <v>22.278481012658226</v>
      </c>
      <c r="P5" s="301"/>
      <c r="Q5" s="14"/>
    </row>
    <row r="6" spans="1:17" ht="20.100000000000001" customHeight="1">
      <c r="A6" s="120" t="s">
        <v>171</v>
      </c>
      <c r="B6" s="14">
        <f t="shared" si="1"/>
        <v>1788</v>
      </c>
      <c r="C6" s="15">
        <f t="shared" si="2"/>
        <v>19.975421740587642</v>
      </c>
      <c r="D6" s="220">
        <f>39+7</f>
        <v>46</v>
      </c>
      <c r="E6" s="15">
        <f t="shared" si="3"/>
        <v>17.829457364341085</v>
      </c>
      <c r="F6" s="220">
        <f>131+22</f>
        <v>153</v>
      </c>
      <c r="G6" s="15">
        <f t="shared" si="4"/>
        <v>21.3986013986014</v>
      </c>
      <c r="H6" s="220">
        <f>198+35</f>
        <v>233</v>
      </c>
      <c r="I6" s="15">
        <f t="shared" si="5"/>
        <v>18.477398889770026</v>
      </c>
      <c r="J6" s="220">
        <f>338+35</f>
        <v>373</v>
      </c>
      <c r="K6" s="15">
        <f t="shared" si="6"/>
        <v>20.09698275862069</v>
      </c>
      <c r="L6" s="220">
        <f>359+52</f>
        <v>411</v>
      </c>
      <c r="M6" s="15">
        <f t="shared" si="7"/>
        <v>19.608778625954198</v>
      </c>
      <c r="N6" s="220">
        <f>518+54</f>
        <v>572</v>
      </c>
      <c r="O6" s="15">
        <f t="shared" si="8"/>
        <v>20.687160940325498</v>
      </c>
      <c r="P6" s="301"/>
      <c r="Q6" s="14"/>
    </row>
    <row r="7" spans="1:17" ht="20.100000000000001" customHeight="1">
      <c r="A7" s="120" t="s">
        <v>174</v>
      </c>
      <c r="B7" s="14">
        <f t="shared" si="1"/>
        <v>1002</v>
      </c>
      <c r="C7" s="15">
        <f t="shared" si="2"/>
        <v>11.194279968718579</v>
      </c>
      <c r="D7" s="220">
        <v>6</v>
      </c>
      <c r="E7" s="15">
        <f t="shared" si="3"/>
        <v>2.3255813953488373</v>
      </c>
      <c r="F7" s="220">
        <f>38+5</f>
        <v>43</v>
      </c>
      <c r="G7" s="15">
        <f t="shared" si="4"/>
        <v>6.0139860139860142</v>
      </c>
      <c r="H7" s="220">
        <f>121+17</f>
        <v>138</v>
      </c>
      <c r="I7" s="15">
        <f t="shared" si="5"/>
        <v>10.943695479777954</v>
      </c>
      <c r="J7" s="220">
        <f>262+17</f>
        <v>279</v>
      </c>
      <c r="K7" s="15">
        <f t="shared" si="6"/>
        <v>15.032327586206899</v>
      </c>
      <c r="L7" s="220">
        <f>237+14</f>
        <v>251</v>
      </c>
      <c r="M7" s="15">
        <f t="shared" si="7"/>
        <v>11.975190839694656</v>
      </c>
      <c r="N7" s="220">
        <f>270+15</f>
        <v>285</v>
      </c>
      <c r="O7" s="15">
        <f t="shared" si="8"/>
        <v>10.30741410488246</v>
      </c>
      <c r="P7" s="301"/>
      <c r="Q7" s="14"/>
    </row>
    <row r="8" spans="1:17" ht="20.100000000000001" customHeight="1">
      <c r="A8" s="120" t="s">
        <v>173</v>
      </c>
      <c r="B8" s="14">
        <f t="shared" si="1"/>
        <v>1040</v>
      </c>
      <c r="C8" s="15">
        <f t="shared" si="2"/>
        <v>11.618813540386549</v>
      </c>
      <c r="D8" s="220">
        <f>50+20</f>
        <v>70</v>
      </c>
      <c r="E8" s="15">
        <f t="shared" si="3"/>
        <v>27.131782945736433</v>
      </c>
      <c r="F8" s="220">
        <f>132+36</f>
        <v>168</v>
      </c>
      <c r="G8" s="15">
        <f t="shared" si="4"/>
        <v>23.496503496503497</v>
      </c>
      <c r="H8" s="220">
        <f>171+45</f>
        <v>216</v>
      </c>
      <c r="I8" s="15">
        <f t="shared" si="5"/>
        <v>17.129262490087232</v>
      </c>
      <c r="J8" s="220">
        <f>181+31</f>
        <v>212</v>
      </c>
      <c r="K8" s="15">
        <f t="shared" si="6"/>
        <v>11.422413793103448</v>
      </c>
      <c r="L8" s="220">
        <f>166+29</f>
        <v>195</v>
      </c>
      <c r="M8" s="15">
        <f t="shared" si="7"/>
        <v>9.3034351145038165</v>
      </c>
      <c r="N8" s="220">
        <f>153+26</f>
        <v>179</v>
      </c>
      <c r="O8" s="15">
        <f t="shared" si="8"/>
        <v>6.4737793851717909</v>
      </c>
      <c r="P8" s="301"/>
      <c r="Q8" s="14"/>
    </row>
    <row r="9" spans="1:17" ht="20.100000000000001" customHeight="1">
      <c r="A9" s="120" t="s">
        <v>175</v>
      </c>
      <c r="B9" s="14">
        <f t="shared" si="1"/>
        <v>838</v>
      </c>
      <c r="C9" s="15">
        <f t="shared" si="2"/>
        <v>9.3620824488883922</v>
      </c>
      <c r="D9" s="220">
        <v>46</v>
      </c>
      <c r="E9" s="15">
        <f t="shared" si="3"/>
        <v>17.829457364341085</v>
      </c>
      <c r="F9" s="220">
        <f>91+25</f>
        <v>116</v>
      </c>
      <c r="G9" s="15">
        <f t="shared" si="4"/>
        <v>16.223776223776223</v>
      </c>
      <c r="H9" s="220">
        <f>134+41</f>
        <v>175</v>
      </c>
      <c r="I9" s="15">
        <f t="shared" si="5"/>
        <v>13.877874702616971</v>
      </c>
      <c r="J9" s="220">
        <f>148+8</f>
        <v>156</v>
      </c>
      <c r="K9" s="15">
        <f t="shared" si="6"/>
        <v>8.4051724137931032</v>
      </c>
      <c r="L9" s="220">
        <f>168+5</f>
        <v>173</v>
      </c>
      <c r="M9" s="15">
        <f t="shared" si="7"/>
        <v>8.2538167938931295</v>
      </c>
      <c r="N9" s="220">
        <f>169+3</f>
        <v>172</v>
      </c>
      <c r="O9" s="15">
        <f t="shared" si="8"/>
        <v>6.2206148282097651</v>
      </c>
      <c r="P9" s="301"/>
      <c r="Q9" s="14"/>
    </row>
    <row r="10" spans="1:17" ht="20.100000000000001" customHeight="1">
      <c r="A10" s="120" t="s">
        <v>176</v>
      </c>
      <c r="B10" s="14">
        <f t="shared" si="1"/>
        <v>392</v>
      </c>
      <c r="C10" s="15">
        <f t="shared" si="2"/>
        <v>4.3793989498380075</v>
      </c>
      <c r="D10" s="14">
        <v>3</v>
      </c>
      <c r="E10" s="15">
        <f t="shared" si="3"/>
        <v>1.1627906976744187</v>
      </c>
      <c r="F10" s="220">
        <v>7</v>
      </c>
      <c r="G10" s="15">
        <f t="shared" si="4"/>
        <v>0.97902097902097907</v>
      </c>
      <c r="H10" s="220">
        <v>33</v>
      </c>
      <c r="I10" s="15">
        <f t="shared" si="5"/>
        <v>2.6169706582077716</v>
      </c>
      <c r="J10" s="220">
        <v>75</v>
      </c>
      <c r="K10" s="15">
        <f t="shared" si="6"/>
        <v>4.0409482758620694</v>
      </c>
      <c r="L10" s="220">
        <v>111</v>
      </c>
      <c r="M10" s="15">
        <f t="shared" si="7"/>
        <v>5.2958015267175567</v>
      </c>
      <c r="N10" s="220">
        <v>163</v>
      </c>
      <c r="O10" s="15">
        <f t="shared" si="8"/>
        <v>5.8951175406871608</v>
      </c>
      <c r="P10" s="301"/>
      <c r="Q10" s="14"/>
    </row>
    <row r="11" spans="1:17" ht="20.100000000000001" customHeight="1">
      <c r="A11" s="120" t="s">
        <v>178</v>
      </c>
      <c r="B11" s="14">
        <f t="shared" si="1"/>
        <v>651</v>
      </c>
      <c r="C11" s="15">
        <f t="shared" si="2"/>
        <v>7.2729303988381195</v>
      </c>
      <c r="D11" s="220">
        <v>34</v>
      </c>
      <c r="E11" s="15">
        <f t="shared" si="3"/>
        <v>13.178294573643413</v>
      </c>
      <c r="F11" s="220">
        <v>81</v>
      </c>
      <c r="G11" s="15">
        <f t="shared" si="4"/>
        <v>11.328671328671328</v>
      </c>
      <c r="H11" s="220">
        <f>109+44</f>
        <v>153</v>
      </c>
      <c r="I11" s="15">
        <f t="shared" si="5"/>
        <v>12.133227597145122</v>
      </c>
      <c r="J11" s="220">
        <v>137</v>
      </c>
      <c r="K11" s="15">
        <f t="shared" si="6"/>
        <v>7.3814655172413799</v>
      </c>
      <c r="L11" s="220">
        <f>106+20</f>
        <v>126</v>
      </c>
      <c r="M11" s="15">
        <f t="shared" si="7"/>
        <v>6.0114503816793894</v>
      </c>
      <c r="N11" s="220">
        <v>120</v>
      </c>
      <c r="O11" s="15">
        <f t="shared" si="8"/>
        <v>4.3399638336347195</v>
      </c>
      <c r="P11" s="301"/>
      <c r="Q11" s="14"/>
    </row>
    <row r="12" spans="1:17" ht="20.100000000000001" customHeight="1">
      <c r="A12" s="120" t="s">
        <v>177</v>
      </c>
      <c r="B12" s="14">
        <v>362</v>
      </c>
      <c r="C12" s="15">
        <f t="shared" si="2"/>
        <v>4.0442408669422409</v>
      </c>
      <c r="D12" s="220">
        <v>7</v>
      </c>
      <c r="E12" s="15">
        <f t="shared" si="3"/>
        <v>2.7131782945736433</v>
      </c>
      <c r="F12" s="220">
        <v>26</v>
      </c>
      <c r="G12" s="15">
        <f t="shared" si="4"/>
        <v>3.6363636363636362</v>
      </c>
      <c r="H12" s="220">
        <v>51</v>
      </c>
      <c r="I12" s="15">
        <f t="shared" si="5"/>
        <v>4.0444091990483741</v>
      </c>
      <c r="J12" s="220">
        <v>91</v>
      </c>
      <c r="K12" s="15">
        <f t="shared" si="6"/>
        <v>4.9030172413793105</v>
      </c>
      <c r="L12" s="220">
        <v>75</v>
      </c>
      <c r="M12" s="15">
        <f t="shared" si="7"/>
        <v>3.5782442748091601</v>
      </c>
      <c r="N12" s="220">
        <v>112</v>
      </c>
      <c r="O12" s="15">
        <f t="shared" si="8"/>
        <v>4.0506329113924053</v>
      </c>
      <c r="P12" s="301"/>
      <c r="Q12" s="14"/>
    </row>
    <row r="13" spans="1:17" ht="20.100000000000001" customHeight="1">
      <c r="A13" s="120" t="s">
        <v>187</v>
      </c>
      <c r="B13" s="14">
        <f>SUM(D13+F13+H13+J13+L13+N13)</f>
        <v>206</v>
      </c>
      <c r="C13" s="15">
        <f t="shared" si="2"/>
        <v>2.3014188358842591</v>
      </c>
      <c r="D13" s="14">
        <v>2</v>
      </c>
      <c r="E13" s="15">
        <f t="shared" si="3"/>
        <v>0.77519379844961245</v>
      </c>
      <c r="F13" s="14">
        <v>1</v>
      </c>
      <c r="G13" s="15">
        <f t="shared" si="4"/>
        <v>0.13986013986013987</v>
      </c>
      <c r="H13" s="220">
        <v>12</v>
      </c>
      <c r="I13" s="15">
        <f t="shared" si="5"/>
        <v>0.95162569389373508</v>
      </c>
      <c r="J13" s="220">
        <v>36</v>
      </c>
      <c r="K13" s="15">
        <f t="shared" si="6"/>
        <v>1.9396551724137931</v>
      </c>
      <c r="L13" s="220">
        <v>57</v>
      </c>
      <c r="M13" s="15">
        <f t="shared" si="7"/>
        <v>2.7194656488549618</v>
      </c>
      <c r="N13" s="220">
        <v>98</v>
      </c>
      <c r="O13" s="15">
        <f t="shared" si="8"/>
        <v>3.5443037974683547</v>
      </c>
      <c r="P13" s="301"/>
      <c r="Q13" s="14"/>
    </row>
    <row r="14" spans="1:17" ht="20.100000000000001" customHeight="1">
      <c r="A14" s="120" t="s">
        <v>180</v>
      </c>
      <c r="B14" s="14">
        <f>SUM(F14+H14+J14+L14+N14)</f>
        <v>145</v>
      </c>
      <c r="C14" s="15">
        <f t="shared" si="2"/>
        <v>1.6199307339962017</v>
      </c>
      <c r="D14" s="14">
        <v>0</v>
      </c>
      <c r="E14" s="14">
        <v>0</v>
      </c>
      <c r="F14" s="220">
        <v>5</v>
      </c>
      <c r="G14" s="15">
        <f t="shared" si="4"/>
        <v>0.69930069930069927</v>
      </c>
      <c r="H14" s="220">
        <v>8</v>
      </c>
      <c r="I14" s="15">
        <f t="shared" si="5"/>
        <v>0.63441712926249005</v>
      </c>
      <c r="J14" s="220">
        <v>29</v>
      </c>
      <c r="K14" s="15">
        <f t="shared" si="6"/>
        <v>1.5625</v>
      </c>
      <c r="L14" s="220">
        <v>35</v>
      </c>
      <c r="M14" s="15">
        <f t="shared" si="7"/>
        <v>1.6698473282442747</v>
      </c>
      <c r="N14" s="220">
        <v>68</v>
      </c>
      <c r="O14" s="15">
        <f t="shared" si="8"/>
        <v>2.4593128390596743</v>
      </c>
      <c r="P14" s="301"/>
      <c r="Q14" s="14"/>
    </row>
    <row r="15" spans="1:17" ht="20.100000000000001" customHeight="1">
      <c r="A15" s="120" t="s">
        <v>179</v>
      </c>
      <c r="B15" s="14">
        <f>SUM(D15+F15+H15+J15+L15+N15)</f>
        <v>218</v>
      </c>
      <c r="C15" s="15">
        <f t="shared" si="2"/>
        <v>2.4354820690425649</v>
      </c>
      <c r="D15" s="220">
        <v>4</v>
      </c>
      <c r="E15" s="15">
        <f>IFERROR(D15/D$4*100,"-")</f>
        <v>1.5503875968992249</v>
      </c>
      <c r="F15" s="220">
        <v>14</v>
      </c>
      <c r="G15" s="15">
        <f t="shared" si="4"/>
        <v>1.9580419580419581</v>
      </c>
      <c r="H15" s="220">
        <v>36</v>
      </c>
      <c r="I15" s="15">
        <f t="shared" si="5"/>
        <v>2.8548770816812055</v>
      </c>
      <c r="J15" s="220">
        <v>40</v>
      </c>
      <c r="K15" s="15">
        <f t="shared" si="6"/>
        <v>2.1551724137931036</v>
      </c>
      <c r="L15" s="220">
        <v>63</v>
      </c>
      <c r="M15" s="15">
        <f t="shared" si="7"/>
        <v>3.0057251908396947</v>
      </c>
      <c r="N15" s="220">
        <v>61</v>
      </c>
      <c r="O15" s="15">
        <f t="shared" si="8"/>
        <v>2.206148282097649</v>
      </c>
      <c r="P15" s="301"/>
      <c r="Q15" s="14"/>
    </row>
    <row r="16" spans="1:17" ht="20.100000000000001" customHeight="1">
      <c r="A16" s="120" t="s">
        <v>183</v>
      </c>
      <c r="B16" s="14">
        <f>SUM(D16+F16+H16+J16+L16+N16)</f>
        <v>98</v>
      </c>
      <c r="C16" s="15">
        <f t="shared" si="2"/>
        <v>1.0948497374595019</v>
      </c>
      <c r="D16" s="14">
        <v>0</v>
      </c>
      <c r="E16" s="14">
        <v>0</v>
      </c>
      <c r="F16" s="14">
        <v>2</v>
      </c>
      <c r="G16" s="15">
        <f t="shared" si="4"/>
        <v>0.27972027972027974</v>
      </c>
      <c r="H16" s="220">
        <v>4</v>
      </c>
      <c r="I16" s="15">
        <f t="shared" si="5"/>
        <v>0.31720856463124503</v>
      </c>
      <c r="J16" s="220">
        <v>21</v>
      </c>
      <c r="K16" s="15">
        <f t="shared" si="6"/>
        <v>1.1314655172413792</v>
      </c>
      <c r="L16" s="220">
        <v>21</v>
      </c>
      <c r="M16" s="15">
        <f t="shared" si="7"/>
        <v>1.0019083969465647</v>
      </c>
      <c r="N16" s="220">
        <v>50</v>
      </c>
      <c r="O16" s="15">
        <f t="shared" si="8"/>
        <v>1.8083182640144666</v>
      </c>
      <c r="P16" s="301"/>
      <c r="Q16" s="14"/>
    </row>
    <row r="17" spans="1:17" ht="20.100000000000001" customHeight="1">
      <c r="A17" s="120" t="s">
        <v>182</v>
      </c>
      <c r="B17" s="14">
        <f>SUM(D17+F17+H17+J17+L17+N17)</f>
        <v>121</v>
      </c>
      <c r="C17" s="15">
        <f t="shared" si="2"/>
        <v>1.3518042676795889</v>
      </c>
      <c r="D17" s="220">
        <v>7</v>
      </c>
      <c r="E17" s="15">
        <f>IFERROR(D17/D$4*100,"-")</f>
        <v>2.7131782945736433</v>
      </c>
      <c r="F17" s="220">
        <v>11</v>
      </c>
      <c r="G17" s="15">
        <f t="shared" si="4"/>
        <v>1.5384615384615385</v>
      </c>
      <c r="H17" s="220">
        <v>18</v>
      </c>
      <c r="I17" s="15">
        <f t="shared" si="5"/>
        <v>1.4274385408406027</v>
      </c>
      <c r="J17" s="220">
        <v>24</v>
      </c>
      <c r="K17" s="15">
        <f t="shared" si="6"/>
        <v>1.2931034482758621</v>
      </c>
      <c r="L17" s="220">
        <v>25</v>
      </c>
      <c r="M17" s="15">
        <f t="shared" si="7"/>
        <v>1.1927480916030535</v>
      </c>
      <c r="N17" s="220">
        <v>36</v>
      </c>
      <c r="O17" s="15">
        <f t="shared" si="8"/>
        <v>1.3019891500904159</v>
      </c>
      <c r="P17" s="301"/>
      <c r="Q17" s="14"/>
    </row>
    <row r="18" spans="1:17" ht="20.100000000000001" customHeight="1">
      <c r="A18" s="120" t="s">
        <v>181</v>
      </c>
      <c r="B18" s="14">
        <f>SUM(D18+F18+H18+J18+L18+N18)</f>
        <v>100</v>
      </c>
      <c r="C18" s="15">
        <f t="shared" si="2"/>
        <v>1.1171936096525528</v>
      </c>
      <c r="D18" s="220">
        <v>2</v>
      </c>
      <c r="E18" s="15">
        <f>IFERROR(D18/D$4*100,"-")</f>
        <v>0.77519379844961245</v>
      </c>
      <c r="F18" s="220">
        <v>6</v>
      </c>
      <c r="G18" s="15">
        <f t="shared" si="4"/>
        <v>0.83916083916083917</v>
      </c>
      <c r="H18" s="220">
        <v>19</v>
      </c>
      <c r="I18" s="15">
        <f t="shared" si="5"/>
        <v>1.5067406819984139</v>
      </c>
      <c r="J18" s="220">
        <v>20</v>
      </c>
      <c r="K18" s="15">
        <f t="shared" si="6"/>
        <v>1.0775862068965518</v>
      </c>
      <c r="L18" s="220">
        <v>21</v>
      </c>
      <c r="M18" s="15">
        <f t="shared" si="7"/>
        <v>1.0019083969465647</v>
      </c>
      <c r="N18" s="220">
        <v>32</v>
      </c>
      <c r="O18" s="15">
        <f t="shared" si="8"/>
        <v>1.1573236889692586</v>
      </c>
      <c r="P18" s="301"/>
      <c r="Q18" s="14"/>
    </row>
    <row r="19" spans="1:17" ht="20.100000000000001" customHeight="1">
      <c r="A19" s="120" t="s">
        <v>184</v>
      </c>
      <c r="B19" s="14">
        <f>SUM(F19+H19+J19+L19+N19)</f>
        <v>68</v>
      </c>
      <c r="C19" s="15">
        <f t="shared" si="2"/>
        <v>0.75969165456373589</v>
      </c>
      <c r="D19" s="14">
        <v>0</v>
      </c>
      <c r="E19" s="14">
        <v>0</v>
      </c>
      <c r="F19" s="220">
        <v>4</v>
      </c>
      <c r="G19" s="15">
        <f t="shared" si="4"/>
        <v>0.55944055944055948</v>
      </c>
      <c r="H19" s="220">
        <v>5</v>
      </c>
      <c r="I19" s="15">
        <f t="shared" si="5"/>
        <v>0.39651070578905628</v>
      </c>
      <c r="J19" s="220">
        <v>17</v>
      </c>
      <c r="K19" s="15">
        <f t="shared" si="6"/>
        <v>0.91594827586206884</v>
      </c>
      <c r="L19" s="220">
        <v>10</v>
      </c>
      <c r="M19" s="15">
        <f t="shared" si="7"/>
        <v>0.47709923664122139</v>
      </c>
      <c r="N19" s="220">
        <v>32</v>
      </c>
      <c r="O19" s="15">
        <f t="shared" si="8"/>
        <v>1.1573236889692586</v>
      </c>
      <c r="P19" s="301"/>
      <c r="Q19" s="14"/>
    </row>
    <row r="20" spans="1:17" ht="20.100000000000001" customHeight="1">
      <c r="A20" s="120" t="s">
        <v>186</v>
      </c>
      <c r="B20" s="14">
        <f>SUM(D20+F20+H20+J20+L20+N20)</f>
        <v>67</v>
      </c>
      <c r="C20" s="15">
        <f t="shared" si="2"/>
        <v>0.74851971846721044</v>
      </c>
      <c r="D20" s="220">
        <v>5</v>
      </c>
      <c r="E20" s="15">
        <f>IFERROR(D20/D$4*100,"-")</f>
        <v>1.9379844961240309</v>
      </c>
      <c r="F20" s="220">
        <v>5</v>
      </c>
      <c r="G20" s="15">
        <f t="shared" si="4"/>
        <v>0.69930069930069927</v>
      </c>
      <c r="H20" s="220">
        <v>6</v>
      </c>
      <c r="I20" s="15">
        <f t="shared" si="5"/>
        <v>0.47581284694686754</v>
      </c>
      <c r="J20" s="220">
        <v>8</v>
      </c>
      <c r="K20" s="15">
        <f t="shared" si="6"/>
        <v>0.43103448275862066</v>
      </c>
      <c r="L20" s="220">
        <v>16</v>
      </c>
      <c r="M20" s="15">
        <f t="shared" si="7"/>
        <v>0.76335877862595414</v>
      </c>
      <c r="N20" s="220">
        <v>27</v>
      </c>
      <c r="O20" s="15">
        <f t="shared" si="8"/>
        <v>0.97649186256781195</v>
      </c>
      <c r="P20" s="301"/>
      <c r="Q20" s="14"/>
    </row>
    <row r="21" spans="1:17" ht="20.100000000000001" customHeight="1">
      <c r="A21" s="120" t="s">
        <v>192</v>
      </c>
      <c r="B21" s="14">
        <f>SUM(D21+F21+H21+J21+L21+N21)</f>
        <v>52</v>
      </c>
      <c r="C21" s="15">
        <f t="shared" si="2"/>
        <v>0.58094067701932739</v>
      </c>
      <c r="D21" s="14">
        <v>1</v>
      </c>
      <c r="E21" s="15">
        <f>IFERROR(D21/D$4*100,"-")</f>
        <v>0.38759689922480622</v>
      </c>
      <c r="F21" s="14">
        <v>0</v>
      </c>
      <c r="G21" s="14">
        <v>0</v>
      </c>
      <c r="H21" s="220">
        <v>2</v>
      </c>
      <c r="I21" s="15">
        <f t="shared" si="5"/>
        <v>0.15860428231562251</v>
      </c>
      <c r="J21" s="220">
        <v>10</v>
      </c>
      <c r="K21" s="15">
        <f t="shared" si="6"/>
        <v>0.53879310344827591</v>
      </c>
      <c r="L21" s="220">
        <v>16</v>
      </c>
      <c r="M21" s="15">
        <f t="shared" si="7"/>
        <v>0.76335877862595414</v>
      </c>
      <c r="N21" s="220">
        <v>23</v>
      </c>
      <c r="O21" s="15">
        <f t="shared" si="8"/>
        <v>0.83182640144665465</v>
      </c>
      <c r="P21" s="301"/>
      <c r="Q21" s="14"/>
    </row>
    <row r="22" spans="1:17" ht="20.100000000000001" customHeight="1">
      <c r="A22" s="120" t="s">
        <v>189</v>
      </c>
      <c r="B22" s="14">
        <f>SUM(D22+F22+H22+J22+L22+N22)</f>
        <v>54</v>
      </c>
      <c r="C22" s="15">
        <f t="shared" si="2"/>
        <v>0.60328454921237851</v>
      </c>
      <c r="D22" s="220">
        <v>3</v>
      </c>
      <c r="E22" s="15">
        <f>IFERROR(D22/D$4*100,"-")</f>
        <v>1.1627906976744187</v>
      </c>
      <c r="F22" s="14">
        <v>5</v>
      </c>
      <c r="G22" s="15">
        <f>IFERROR(F22/F$4*100,"-")</f>
        <v>0.69930069930069927</v>
      </c>
      <c r="H22" s="220">
        <v>6</v>
      </c>
      <c r="I22" s="15">
        <f t="shared" si="5"/>
        <v>0.47581284694686754</v>
      </c>
      <c r="J22" s="220">
        <v>15</v>
      </c>
      <c r="K22" s="15">
        <f t="shared" si="6"/>
        <v>0.80818965517241381</v>
      </c>
      <c r="L22" s="220">
        <v>9</v>
      </c>
      <c r="M22" s="15">
        <f t="shared" si="7"/>
        <v>0.42938931297709926</v>
      </c>
      <c r="N22" s="220">
        <v>16</v>
      </c>
      <c r="O22" s="15">
        <f t="shared" si="8"/>
        <v>0.57866184448462932</v>
      </c>
      <c r="P22" s="301"/>
      <c r="Q22" s="14"/>
    </row>
    <row r="23" spans="1:17" ht="20.100000000000001" customHeight="1">
      <c r="A23" s="120" t="s">
        <v>185</v>
      </c>
      <c r="B23" s="14">
        <v>31</v>
      </c>
      <c r="C23" s="15">
        <f t="shared" si="2"/>
        <v>0.34633001899229138</v>
      </c>
      <c r="D23" s="14">
        <v>0</v>
      </c>
      <c r="E23" s="14">
        <v>0</v>
      </c>
      <c r="F23" s="14">
        <v>0</v>
      </c>
      <c r="G23" s="14">
        <v>0</v>
      </c>
      <c r="H23" s="220">
        <v>2</v>
      </c>
      <c r="I23" s="15">
        <f t="shared" si="5"/>
        <v>0.15860428231562251</v>
      </c>
      <c r="J23" s="220">
        <v>4</v>
      </c>
      <c r="K23" s="15">
        <f t="shared" si="6"/>
        <v>0.21551724137931033</v>
      </c>
      <c r="L23" s="220">
        <v>9</v>
      </c>
      <c r="M23" s="15">
        <f t="shared" si="7"/>
        <v>0.42938931297709926</v>
      </c>
      <c r="N23" s="220">
        <v>16</v>
      </c>
      <c r="O23" s="15">
        <f t="shared" si="8"/>
        <v>0.57866184448462932</v>
      </c>
      <c r="P23" s="301"/>
      <c r="Q23" s="14"/>
    </row>
    <row r="24" spans="1:17" ht="20.100000000000001" customHeight="1">
      <c r="A24" s="120" t="s">
        <v>193</v>
      </c>
      <c r="B24" s="14">
        <f t="shared" ref="B24:B29" si="9">SUM(D24+F24+H24+J24+L24+N24)</f>
        <v>35</v>
      </c>
      <c r="C24" s="15">
        <f t="shared" si="2"/>
        <v>0.3910177633783935</v>
      </c>
      <c r="D24" s="14">
        <v>2</v>
      </c>
      <c r="E24" s="15">
        <f>IFERROR(D24/D$4*100,"-")</f>
        <v>0.77519379844961245</v>
      </c>
      <c r="F24" s="220">
        <v>9</v>
      </c>
      <c r="G24" s="15">
        <f t="shared" ref="G24:G30" si="10">IFERROR(F24/F$4*100,"-")</f>
        <v>1.2587412587412588</v>
      </c>
      <c r="H24" s="220">
        <v>7</v>
      </c>
      <c r="I24" s="15">
        <f t="shared" si="5"/>
        <v>0.55511498810467885</v>
      </c>
      <c r="J24" s="220">
        <v>9</v>
      </c>
      <c r="K24" s="15">
        <f t="shared" si="6"/>
        <v>0.48491379310344829</v>
      </c>
      <c r="L24" s="14">
        <v>0</v>
      </c>
      <c r="M24" s="14">
        <v>0</v>
      </c>
      <c r="N24" s="220">
        <v>8</v>
      </c>
      <c r="O24" s="15">
        <f t="shared" si="8"/>
        <v>0.28933092224231466</v>
      </c>
      <c r="P24" s="301"/>
      <c r="Q24" s="14"/>
    </row>
    <row r="25" spans="1:17" ht="20.100000000000001" customHeight="1">
      <c r="A25" s="120" t="s">
        <v>197</v>
      </c>
      <c r="B25" s="14">
        <f t="shared" si="9"/>
        <v>39</v>
      </c>
      <c r="C25" s="15">
        <f t="shared" si="2"/>
        <v>0.43570550776449557</v>
      </c>
      <c r="D25" s="220">
        <v>2</v>
      </c>
      <c r="E25" s="15">
        <f>IFERROR(D25/D$4*100,"-")</f>
        <v>0.77519379844961245</v>
      </c>
      <c r="F25" s="14">
        <v>6</v>
      </c>
      <c r="G25" s="15">
        <f t="shared" si="10"/>
        <v>0.83916083916083917</v>
      </c>
      <c r="H25" s="14">
        <v>12</v>
      </c>
      <c r="I25" s="15">
        <f t="shared" si="5"/>
        <v>0.95162569389373508</v>
      </c>
      <c r="J25" s="220">
        <v>7</v>
      </c>
      <c r="K25" s="15">
        <f t="shared" si="6"/>
        <v>0.37715517241379309</v>
      </c>
      <c r="L25" s="220">
        <v>7</v>
      </c>
      <c r="M25" s="15">
        <f>IFERROR(L25/L$4*100,"-")</f>
        <v>0.33396946564885494</v>
      </c>
      <c r="N25" s="221">
        <v>5</v>
      </c>
      <c r="O25" s="15">
        <f t="shared" si="8"/>
        <v>0.18083182640144665</v>
      </c>
      <c r="P25" s="301"/>
      <c r="Q25" s="14"/>
    </row>
    <row r="26" spans="1:17" ht="20.100000000000001" customHeight="1">
      <c r="A26" s="120" t="s">
        <v>188</v>
      </c>
      <c r="B26" s="14">
        <f t="shared" si="9"/>
        <v>30</v>
      </c>
      <c r="C26" s="15">
        <f t="shared" ref="C26:C52" si="11">IFERROR(B26/B$4*100,"-")</f>
        <v>0.33515808289576582</v>
      </c>
      <c r="D26" s="14">
        <v>0</v>
      </c>
      <c r="E26" s="14">
        <v>0</v>
      </c>
      <c r="F26" s="220">
        <v>2</v>
      </c>
      <c r="G26" s="15">
        <f t="shared" si="10"/>
        <v>0.27972027972027974</v>
      </c>
      <c r="H26" s="220">
        <v>3</v>
      </c>
      <c r="I26" s="15">
        <f t="shared" ref="I26:I29" si="12">IFERROR(H26/H$4*100,)</f>
        <v>0.23790642347343377</v>
      </c>
      <c r="J26" s="220">
        <v>13</v>
      </c>
      <c r="K26" s="15">
        <f t="shared" ref="K26:K32" si="13">IFERROR(J26/J$4*100,"-")</f>
        <v>0.70043103448275867</v>
      </c>
      <c r="L26" s="220">
        <v>7</v>
      </c>
      <c r="M26" s="15">
        <f t="shared" ref="M26:M30" si="14">IFERROR(L26/L$4*100,"-")</f>
        <v>0.33396946564885494</v>
      </c>
      <c r="N26" s="220">
        <v>5</v>
      </c>
      <c r="O26" s="15">
        <f t="shared" ref="O26:O48" si="15">IFERROR(N26/N$4*100,"-")</f>
        <v>0.18083182640144665</v>
      </c>
      <c r="P26" s="301"/>
      <c r="Q26" s="14"/>
    </row>
    <row r="27" spans="1:17" ht="20.100000000000001" customHeight="1">
      <c r="A27" s="120" t="s">
        <v>533</v>
      </c>
      <c r="B27" s="14">
        <f t="shared" si="9"/>
        <v>23</v>
      </c>
      <c r="C27" s="15">
        <f t="shared" si="11"/>
        <v>0.25695453022008713</v>
      </c>
      <c r="D27" s="14">
        <v>1</v>
      </c>
      <c r="E27" s="15">
        <f>IFERROR(D27/D$4*100,"-")</f>
        <v>0.38759689922480622</v>
      </c>
      <c r="F27" s="14">
        <v>1</v>
      </c>
      <c r="G27" s="15">
        <f t="shared" si="10"/>
        <v>0.13986013986013987</v>
      </c>
      <c r="H27" s="14">
        <v>4</v>
      </c>
      <c r="I27" s="15">
        <f t="shared" si="12"/>
        <v>0.31720856463124503</v>
      </c>
      <c r="J27" s="14">
        <v>4</v>
      </c>
      <c r="K27" s="15">
        <f t="shared" si="13"/>
        <v>0.21551724137931033</v>
      </c>
      <c r="L27" s="14">
        <v>6</v>
      </c>
      <c r="M27" s="15">
        <f t="shared" si="14"/>
        <v>0.2862595419847328</v>
      </c>
      <c r="N27" s="220">
        <v>7</v>
      </c>
      <c r="O27" s="15">
        <f t="shared" si="15"/>
        <v>0.25316455696202533</v>
      </c>
      <c r="P27" s="301"/>
      <c r="Q27" s="14"/>
    </row>
    <row r="28" spans="1:17" ht="20.100000000000001" customHeight="1">
      <c r="A28" s="120" t="s">
        <v>190</v>
      </c>
      <c r="B28" s="14">
        <f t="shared" si="9"/>
        <v>22</v>
      </c>
      <c r="C28" s="15">
        <f t="shared" si="11"/>
        <v>0.24578259412356163</v>
      </c>
      <c r="D28" s="14">
        <v>0</v>
      </c>
      <c r="E28" s="14">
        <v>0</v>
      </c>
      <c r="F28" s="220">
        <v>3</v>
      </c>
      <c r="G28" s="15">
        <f t="shared" si="10"/>
        <v>0.41958041958041958</v>
      </c>
      <c r="H28" s="220">
        <v>2</v>
      </c>
      <c r="I28" s="15">
        <f t="shared" si="12"/>
        <v>0.15860428231562251</v>
      </c>
      <c r="J28" s="220">
        <v>3</v>
      </c>
      <c r="K28" s="15">
        <f t="shared" si="13"/>
        <v>0.16163793103448276</v>
      </c>
      <c r="L28" s="220">
        <v>4</v>
      </c>
      <c r="M28" s="15">
        <f t="shared" si="14"/>
        <v>0.19083969465648853</v>
      </c>
      <c r="N28" s="220">
        <v>10</v>
      </c>
      <c r="O28" s="15">
        <f t="shared" si="15"/>
        <v>0.36166365280289331</v>
      </c>
      <c r="P28" s="301"/>
      <c r="Q28" s="14"/>
    </row>
    <row r="29" spans="1:17" ht="20.100000000000001" customHeight="1">
      <c r="A29" s="120" t="s">
        <v>194</v>
      </c>
      <c r="B29" s="14">
        <f t="shared" si="9"/>
        <v>20</v>
      </c>
      <c r="C29" s="15">
        <f t="shared" si="11"/>
        <v>0.22343872193051056</v>
      </c>
      <c r="D29" s="14">
        <v>0</v>
      </c>
      <c r="E29" s="14">
        <v>0</v>
      </c>
      <c r="F29" s="220">
        <v>2</v>
      </c>
      <c r="G29" s="15">
        <f t="shared" si="10"/>
        <v>0.27972027972027974</v>
      </c>
      <c r="H29" s="220">
        <v>3</v>
      </c>
      <c r="I29" s="15">
        <f t="shared" si="12"/>
        <v>0.23790642347343377</v>
      </c>
      <c r="J29" s="220">
        <v>2</v>
      </c>
      <c r="K29" s="15">
        <f t="shared" si="13"/>
        <v>0.10775862068965517</v>
      </c>
      <c r="L29" s="220">
        <v>3</v>
      </c>
      <c r="M29" s="15">
        <f t="shared" si="14"/>
        <v>0.1431297709923664</v>
      </c>
      <c r="N29" s="220">
        <v>10</v>
      </c>
      <c r="O29" s="15">
        <f t="shared" si="15"/>
        <v>0.36166365280289331</v>
      </c>
      <c r="P29" s="301"/>
      <c r="Q29" s="14"/>
    </row>
    <row r="30" spans="1:17" ht="20.100000000000001" customHeight="1">
      <c r="A30" s="120" t="s">
        <v>191</v>
      </c>
      <c r="B30" s="14">
        <v>18</v>
      </c>
      <c r="C30" s="15">
        <f t="shared" si="11"/>
        <v>0.2010948497374595</v>
      </c>
      <c r="D30" s="14">
        <v>0</v>
      </c>
      <c r="E30" s="14">
        <v>0</v>
      </c>
      <c r="F30" s="220">
        <v>1</v>
      </c>
      <c r="G30" s="15">
        <f t="shared" si="10"/>
        <v>0.13986013986013987</v>
      </c>
      <c r="H30" s="220" t="s">
        <v>709</v>
      </c>
      <c r="I30" s="220" t="s">
        <v>709</v>
      </c>
      <c r="J30" s="220">
        <v>7</v>
      </c>
      <c r="K30" s="15">
        <f t="shared" si="13"/>
        <v>0.37715517241379309</v>
      </c>
      <c r="L30" s="220">
        <v>4</v>
      </c>
      <c r="M30" s="15">
        <f t="shared" si="14"/>
        <v>0.19083969465648853</v>
      </c>
      <c r="N30" s="220">
        <v>6</v>
      </c>
      <c r="O30" s="15">
        <f t="shared" si="15"/>
        <v>0.21699819168173601</v>
      </c>
      <c r="P30" s="301"/>
      <c r="Q30" s="14"/>
    </row>
    <row r="31" spans="1:17" ht="20.100000000000001" customHeight="1">
      <c r="A31" s="120" t="s">
        <v>199</v>
      </c>
      <c r="B31" s="14">
        <f t="shared" ref="B31:B40" si="16">SUM(D31+F31+H31+J31+L31+N31)</f>
        <v>12</v>
      </c>
      <c r="C31" s="15">
        <f t="shared" si="11"/>
        <v>0.13406323315830634</v>
      </c>
      <c r="D31" s="14">
        <v>1</v>
      </c>
      <c r="E31" s="15">
        <f>IFERROR(D31/D$4*100,"-")</f>
        <v>0.38759689922480622</v>
      </c>
      <c r="F31" s="14">
        <v>0</v>
      </c>
      <c r="G31" s="14">
        <v>0</v>
      </c>
      <c r="H31" s="14">
        <v>5</v>
      </c>
      <c r="I31" s="15">
        <f>IFERROR(H31/H$4*100,)</f>
        <v>0.39651070578905628</v>
      </c>
      <c r="J31" s="220">
        <v>5</v>
      </c>
      <c r="K31" s="15">
        <f t="shared" si="13"/>
        <v>0.26939655172413796</v>
      </c>
      <c r="L31" s="14">
        <v>0</v>
      </c>
      <c r="M31" s="14">
        <v>0</v>
      </c>
      <c r="N31" s="220">
        <v>1</v>
      </c>
      <c r="O31" s="15">
        <f t="shared" si="15"/>
        <v>3.6166365280289332E-2</v>
      </c>
      <c r="P31" s="301"/>
      <c r="Q31" s="14"/>
    </row>
    <row r="32" spans="1:17" ht="20.100000000000001" customHeight="1">
      <c r="A32" s="120" t="s">
        <v>196</v>
      </c>
      <c r="B32" s="14">
        <f t="shared" si="16"/>
        <v>10</v>
      </c>
      <c r="C32" s="15">
        <f t="shared" si="11"/>
        <v>0.11171936096525528</v>
      </c>
      <c r="D32" s="14">
        <v>0</v>
      </c>
      <c r="E32" s="14">
        <v>0</v>
      </c>
      <c r="F32" s="14">
        <v>0</v>
      </c>
      <c r="G32" s="14">
        <v>0</v>
      </c>
      <c r="H32" s="14">
        <v>0</v>
      </c>
      <c r="I32" s="14">
        <v>0</v>
      </c>
      <c r="J32" s="221">
        <v>1</v>
      </c>
      <c r="K32" s="15">
        <f t="shared" si="13"/>
        <v>5.3879310344827583E-2</v>
      </c>
      <c r="L32" s="220">
        <v>7</v>
      </c>
      <c r="M32" s="15">
        <f t="shared" ref="M32:M40" si="17">IFERROR(L32/L$4*100,"-")</f>
        <v>0.33396946564885494</v>
      </c>
      <c r="N32" s="220">
        <v>2</v>
      </c>
      <c r="O32" s="15">
        <f t="shared" si="15"/>
        <v>7.2332730560578665E-2</v>
      </c>
      <c r="P32" s="301"/>
      <c r="Q32" s="14"/>
    </row>
    <row r="33" spans="1:17" ht="20.100000000000001" customHeight="1">
      <c r="A33" s="222" t="s">
        <v>523</v>
      </c>
      <c r="B33" s="14">
        <f t="shared" si="16"/>
        <v>10</v>
      </c>
      <c r="C33" s="15">
        <f t="shared" si="11"/>
        <v>0.11171936096525528</v>
      </c>
      <c r="D33" s="14">
        <v>0</v>
      </c>
      <c r="E33" s="14">
        <v>0</v>
      </c>
      <c r="F33" s="14">
        <v>1</v>
      </c>
      <c r="G33" s="15">
        <f>IFERROR(F33/F$4*100,"-")</f>
        <v>0.13986013986013987</v>
      </c>
      <c r="H33" s="14">
        <v>1</v>
      </c>
      <c r="I33" s="15">
        <f>IFERROR(H33/H$4*100,)</f>
        <v>7.9302141157811257E-2</v>
      </c>
      <c r="J33" s="14">
        <v>0</v>
      </c>
      <c r="K33" s="14">
        <v>0</v>
      </c>
      <c r="L33" s="14">
        <v>4</v>
      </c>
      <c r="M33" s="15">
        <f t="shared" si="17"/>
        <v>0.19083969465648853</v>
      </c>
      <c r="N33" s="220">
        <v>4</v>
      </c>
      <c r="O33" s="15">
        <f t="shared" si="15"/>
        <v>0.14466546112115733</v>
      </c>
      <c r="P33" s="301"/>
      <c r="Q33" s="14"/>
    </row>
    <row r="34" spans="1:17" ht="20.100000000000001" customHeight="1">
      <c r="A34" s="120" t="s">
        <v>195</v>
      </c>
      <c r="B34" s="14">
        <f t="shared" si="16"/>
        <v>8</v>
      </c>
      <c r="C34" s="15">
        <f t="shared" si="11"/>
        <v>8.937548877220422E-2</v>
      </c>
      <c r="D34" s="14">
        <v>0</v>
      </c>
      <c r="E34" s="14">
        <v>0</v>
      </c>
      <c r="F34" s="14">
        <v>0</v>
      </c>
      <c r="G34" s="14">
        <v>0</v>
      </c>
      <c r="H34" s="14">
        <v>0</v>
      </c>
      <c r="I34" s="14">
        <v>0</v>
      </c>
      <c r="J34" s="220">
        <v>1</v>
      </c>
      <c r="K34" s="15">
        <f>IFERROR(J34/J$4*100,"-")</f>
        <v>5.3879310344827583E-2</v>
      </c>
      <c r="L34" s="220">
        <v>6</v>
      </c>
      <c r="M34" s="15">
        <f t="shared" si="17"/>
        <v>0.2862595419847328</v>
      </c>
      <c r="N34" s="220">
        <v>1</v>
      </c>
      <c r="O34" s="15">
        <f t="shared" si="15"/>
        <v>3.6166365280289332E-2</v>
      </c>
      <c r="P34" s="301"/>
      <c r="Q34" s="14"/>
    </row>
    <row r="35" spans="1:17" ht="20.100000000000001" customHeight="1">
      <c r="A35" s="120" t="s">
        <v>202</v>
      </c>
      <c r="B35" s="14">
        <f t="shared" si="16"/>
        <v>7</v>
      </c>
      <c r="C35" s="15">
        <f t="shared" si="11"/>
        <v>7.8203552675678703E-2</v>
      </c>
      <c r="D35" s="14">
        <v>2</v>
      </c>
      <c r="E35" s="15">
        <f>IFERROR(D35/D$4*100,"-")</f>
        <v>0.77519379844961245</v>
      </c>
      <c r="F35" s="14">
        <v>0</v>
      </c>
      <c r="G35" s="14">
        <v>0</v>
      </c>
      <c r="H35" s="14">
        <v>1</v>
      </c>
      <c r="I35" s="15">
        <f>IFERROR(H35/H$4*100,)</f>
        <v>7.9302141157811257E-2</v>
      </c>
      <c r="J35" s="14">
        <v>0</v>
      </c>
      <c r="K35" s="14">
        <v>0</v>
      </c>
      <c r="L35" s="220">
        <v>2</v>
      </c>
      <c r="M35" s="15">
        <f t="shared" si="17"/>
        <v>9.5419847328244267E-2</v>
      </c>
      <c r="N35" s="221">
        <v>2</v>
      </c>
      <c r="O35" s="15">
        <f t="shared" si="15"/>
        <v>7.2332730560578665E-2</v>
      </c>
      <c r="P35" s="301"/>
      <c r="Q35" s="14"/>
    </row>
    <row r="36" spans="1:17" ht="20.100000000000001" customHeight="1">
      <c r="A36" s="120" t="s">
        <v>200</v>
      </c>
      <c r="B36" s="14">
        <f t="shared" si="16"/>
        <v>7</v>
      </c>
      <c r="C36" s="15">
        <f t="shared" si="11"/>
        <v>7.8203552675678703E-2</v>
      </c>
      <c r="D36" s="14">
        <v>0</v>
      </c>
      <c r="E36" s="14">
        <v>0</v>
      </c>
      <c r="F36" s="14">
        <v>0</v>
      </c>
      <c r="G36" s="14">
        <v>0</v>
      </c>
      <c r="H36" s="14">
        <v>1</v>
      </c>
      <c r="I36" s="15">
        <f>IFERROR(H36/H$4*100,)</f>
        <v>7.9302141157811257E-2</v>
      </c>
      <c r="J36" s="14">
        <v>0</v>
      </c>
      <c r="K36" s="14">
        <v>0</v>
      </c>
      <c r="L36" s="220">
        <v>3</v>
      </c>
      <c r="M36" s="15">
        <f t="shared" si="17"/>
        <v>0.1431297709923664</v>
      </c>
      <c r="N36" s="220">
        <v>3</v>
      </c>
      <c r="O36" s="15">
        <f t="shared" si="15"/>
        <v>0.108499095840868</v>
      </c>
      <c r="P36" s="301"/>
      <c r="Q36" s="14"/>
    </row>
    <row r="37" spans="1:17" ht="20.100000000000001" customHeight="1">
      <c r="A37" s="222" t="s">
        <v>640</v>
      </c>
      <c r="B37" s="221">
        <f t="shared" si="16"/>
        <v>7</v>
      </c>
      <c r="C37" s="15">
        <f t="shared" si="11"/>
        <v>7.8203552675678703E-2</v>
      </c>
      <c r="D37" s="221">
        <v>0</v>
      </c>
      <c r="E37" s="221">
        <v>0</v>
      </c>
      <c r="F37" s="14">
        <v>1</v>
      </c>
      <c r="G37" s="15">
        <f>IFERROR(F37/F$4*100,"-")</f>
        <v>0.13986013986013987</v>
      </c>
      <c r="H37" s="221">
        <v>1</v>
      </c>
      <c r="I37" s="15">
        <f>IFERROR(H37/H$4*100,)</f>
        <v>7.9302141157811257E-2</v>
      </c>
      <c r="J37" s="221">
        <v>1</v>
      </c>
      <c r="K37" s="15">
        <f>IFERROR(J37/J$4*100,"-")</f>
        <v>5.3879310344827583E-2</v>
      </c>
      <c r="L37" s="221">
        <v>2</v>
      </c>
      <c r="M37" s="15">
        <f t="shared" si="17"/>
        <v>9.5419847328244267E-2</v>
      </c>
      <c r="N37" s="221">
        <v>2</v>
      </c>
      <c r="O37" s="15">
        <f t="shared" si="15"/>
        <v>7.2332730560578665E-2</v>
      </c>
      <c r="P37" s="301"/>
      <c r="Q37" s="14"/>
    </row>
    <row r="38" spans="1:17" ht="20.100000000000001" customHeight="1">
      <c r="A38" s="120" t="s">
        <v>198</v>
      </c>
      <c r="B38" s="14">
        <f t="shared" si="16"/>
        <v>6</v>
      </c>
      <c r="C38" s="15">
        <f t="shared" si="11"/>
        <v>6.7031616579153172E-2</v>
      </c>
      <c r="D38" s="14">
        <v>0</v>
      </c>
      <c r="E38" s="14">
        <v>0</v>
      </c>
      <c r="F38" s="14">
        <v>0</v>
      </c>
      <c r="G38" s="14">
        <v>0</v>
      </c>
      <c r="H38" s="220">
        <v>1</v>
      </c>
      <c r="I38" s="15">
        <f>IFERROR(H38/H$4*100,)</f>
        <v>7.9302141157811257E-2</v>
      </c>
      <c r="J38" s="14">
        <v>1</v>
      </c>
      <c r="K38" s="15">
        <f>IFERROR(J38/J$4*100,"-")</f>
        <v>5.3879310344827583E-2</v>
      </c>
      <c r="L38" s="14">
        <v>1</v>
      </c>
      <c r="M38" s="15">
        <f t="shared" si="17"/>
        <v>4.7709923664122134E-2</v>
      </c>
      <c r="N38" s="220">
        <v>3</v>
      </c>
      <c r="O38" s="15">
        <f t="shared" si="15"/>
        <v>0.108499095840868</v>
      </c>
      <c r="P38" s="301"/>
      <c r="Q38" s="14"/>
    </row>
    <row r="39" spans="1:17" ht="20.100000000000001" customHeight="1">
      <c r="A39" s="120" t="s">
        <v>205</v>
      </c>
      <c r="B39" s="14">
        <f t="shared" si="16"/>
        <v>5</v>
      </c>
      <c r="C39" s="15">
        <f t="shared" si="11"/>
        <v>5.5859680482627641E-2</v>
      </c>
      <c r="D39" s="14">
        <v>0</v>
      </c>
      <c r="E39" s="14">
        <v>0</v>
      </c>
      <c r="F39" s="14">
        <v>0</v>
      </c>
      <c r="G39" s="14">
        <v>0</v>
      </c>
      <c r="H39" s="14">
        <v>0</v>
      </c>
      <c r="I39" s="14">
        <v>0</v>
      </c>
      <c r="J39" s="14">
        <v>1</v>
      </c>
      <c r="K39" s="15">
        <f>IFERROR(J39/J$4*100,"-")</f>
        <v>5.3879310344827583E-2</v>
      </c>
      <c r="L39" s="14">
        <v>1</v>
      </c>
      <c r="M39" s="15">
        <f t="shared" si="17"/>
        <v>4.7709923664122134E-2</v>
      </c>
      <c r="N39" s="221">
        <v>3</v>
      </c>
      <c r="O39" s="15">
        <f t="shared" si="15"/>
        <v>0.108499095840868</v>
      </c>
      <c r="P39" s="301"/>
      <c r="Q39" s="14"/>
    </row>
    <row r="40" spans="1:17">
      <c r="A40" s="120" t="s">
        <v>204</v>
      </c>
      <c r="B40" s="14">
        <f t="shared" si="16"/>
        <v>4</v>
      </c>
      <c r="C40" s="15">
        <f t="shared" si="11"/>
        <v>4.468774438610211E-2</v>
      </c>
      <c r="D40" s="14">
        <v>0</v>
      </c>
      <c r="E40" s="14">
        <v>0</v>
      </c>
      <c r="F40" s="14">
        <v>0</v>
      </c>
      <c r="G40" s="14">
        <v>0</v>
      </c>
      <c r="H40" s="14">
        <v>0</v>
      </c>
      <c r="I40" s="14">
        <v>0</v>
      </c>
      <c r="J40" s="14">
        <v>0</v>
      </c>
      <c r="K40" s="14">
        <v>0</v>
      </c>
      <c r="L40" s="220">
        <v>1</v>
      </c>
      <c r="M40" s="15">
        <f t="shared" si="17"/>
        <v>4.7709923664122134E-2</v>
      </c>
      <c r="N40" s="221">
        <v>3</v>
      </c>
      <c r="O40" s="15">
        <f t="shared" si="15"/>
        <v>0.108499095840868</v>
      </c>
      <c r="P40" s="301"/>
      <c r="Q40" s="14"/>
    </row>
    <row r="41" spans="1:17" ht="20.100000000000001" customHeight="1">
      <c r="A41" s="120" t="s">
        <v>206</v>
      </c>
      <c r="B41" s="14">
        <v>4</v>
      </c>
      <c r="C41" s="15">
        <f t="shared" si="11"/>
        <v>4.468774438610211E-2</v>
      </c>
      <c r="D41" s="14">
        <v>0</v>
      </c>
      <c r="E41" s="14">
        <v>0</v>
      </c>
      <c r="F41" s="14">
        <v>0</v>
      </c>
      <c r="G41" s="14">
        <v>0</v>
      </c>
      <c r="H41" s="14">
        <v>1</v>
      </c>
      <c r="I41" s="15">
        <f>IFERROR(H41/H$4*100,)</f>
        <v>7.9302141157811257E-2</v>
      </c>
      <c r="J41" s="14">
        <v>2</v>
      </c>
      <c r="K41" s="15">
        <f>IFERROR(J41/J$4*100,"-")</f>
        <v>0.10775862068965517</v>
      </c>
      <c r="L41" s="14">
        <v>0</v>
      </c>
      <c r="M41" s="14">
        <v>0</v>
      </c>
      <c r="N41" s="221">
        <v>1</v>
      </c>
      <c r="O41" s="15">
        <f t="shared" si="15"/>
        <v>3.6166365280289332E-2</v>
      </c>
      <c r="P41" s="301"/>
      <c r="Q41" s="14"/>
    </row>
    <row r="42" spans="1:17">
      <c r="A42" s="120" t="s">
        <v>203</v>
      </c>
      <c r="B42" s="14">
        <f>SUM(D42+F42+H42+J42+L42+N42)</f>
        <v>3</v>
      </c>
      <c r="C42" s="15">
        <f t="shared" si="11"/>
        <v>3.3515808289576586E-2</v>
      </c>
      <c r="D42" s="14">
        <v>0</v>
      </c>
      <c r="E42" s="14">
        <v>0</v>
      </c>
      <c r="F42" s="14">
        <v>0</v>
      </c>
      <c r="G42" s="14">
        <v>0</v>
      </c>
      <c r="H42" s="14">
        <v>0</v>
      </c>
      <c r="I42" s="14">
        <v>0</v>
      </c>
      <c r="J42" s="14">
        <v>0</v>
      </c>
      <c r="K42" s="14">
        <v>0</v>
      </c>
      <c r="L42" s="220">
        <v>1</v>
      </c>
      <c r="M42" s="15">
        <f>IFERROR(L42/L$4*100,"-")</f>
        <v>4.7709923664122134E-2</v>
      </c>
      <c r="N42" s="220">
        <v>2</v>
      </c>
      <c r="O42" s="15">
        <f t="shared" si="15"/>
        <v>7.2332730560578665E-2</v>
      </c>
      <c r="P42" s="301"/>
      <c r="Q42" s="14"/>
    </row>
    <row r="43" spans="1:17" ht="33">
      <c r="A43" s="222" t="s">
        <v>731</v>
      </c>
      <c r="B43" s="14">
        <v>3</v>
      </c>
      <c r="C43" s="15">
        <f t="shared" si="11"/>
        <v>3.3515808289576586E-2</v>
      </c>
      <c r="D43" s="14">
        <v>0</v>
      </c>
      <c r="E43" s="14">
        <v>0</v>
      </c>
      <c r="F43" s="14">
        <v>0</v>
      </c>
      <c r="G43" s="14">
        <v>0</v>
      </c>
      <c r="H43" s="14">
        <v>1</v>
      </c>
      <c r="I43" s="15">
        <f>IFERROR(H43/H$4*100,)</f>
        <v>7.9302141157811257E-2</v>
      </c>
      <c r="J43" s="14">
        <v>1</v>
      </c>
      <c r="K43" s="15">
        <f>IFERROR(J43/J$4*100,"-")</f>
        <v>5.3879310344827583E-2</v>
      </c>
      <c r="L43" s="14">
        <v>0</v>
      </c>
      <c r="M43" s="14">
        <v>0</v>
      </c>
      <c r="N43" s="220">
        <v>1</v>
      </c>
      <c r="O43" s="15">
        <f t="shared" si="15"/>
        <v>3.6166365280289332E-2</v>
      </c>
      <c r="P43" s="301"/>
      <c r="Q43" s="14"/>
    </row>
    <row r="44" spans="1:17" ht="20.100000000000001" customHeight="1">
      <c r="A44" s="299" t="s">
        <v>641</v>
      </c>
      <c r="B44" s="14">
        <f>SUM(D44+F44+H44+J44+L44+N44)</f>
        <v>2</v>
      </c>
      <c r="C44" s="15">
        <f t="shared" si="11"/>
        <v>2.2343872193051055E-2</v>
      </c>
      <c r="D44" s="14">
        <v>0</v>
      </c>
      <c r="E44" s="14">
        <v>0</v>
      </c>
      <c r="F44" s="14">
        <v>0</v>
      </c>
      <c r="G44" s="14">
        <v>0</v>
      </c>
      <c r="H44" s="14">
        <v>0</v>
      </c>
      <c r="I44" s="14">
        <v>0</v>
      </c>
      <c r="J44" s="220">
        <v>1</v>
      </c>
      <c r="K44" s="15">
        <f>IFERROR(J44/J$4*100,"-")</f>
        <v>5.3879310344827583E-2</v>
      </c>
      <c r="L44" s="14">
        <v>0</v>
      </c>
      <c r="M44" s="14">
        <v>0</v>
      </c>
      <c r="N44" s="221">
        <v>1</v>
      </c>
      <c r="O44" s="15">
        <f t="shared" si="15"/>
        <v>3.6166365280289332E-2</v>
      </c>
      <c r="P44" s="301"/>
      <c r="Q44" s="14"/>
    </row>
    <row r="45" spans="1:17" ht="20.100000000000001" customHeight="1">
      <c r="A45" s="120" t="s">
        <v>201</v>
      </c>
      <c r="B45" s="14">
        <f>SUM(D45+F45+H45+J45+L45+N45)</f>
        <v>2</v>
      </c>
      <c r="C45" s="15">
        <f t="shared" si="11"/>
        <v>2.2343872193051055E-2</v>
      </c>
      <c r="D45" s="14">
        <v>0</v>
      </c>
      <c r="E45" s="14">
        <v>0</v>
      </c>
      <c r="F45" s="14">
        <v>0</v>
      </c>
      <c r="G45" s="14">
        <v>0</v>
      </c>
      <c r="H45" s="14">
        <v>0</v>
      </c>
      <c r="I45" s="14">
        <v>0</v>
      </c>
      <c r="J45" s="14">
        <v>0</v>
      </c>
      <c r="K45" s="14">
        <v>0</v>
      </c>
      <c r="L45" s="14">
        <v>1</v>
      </c>
      <c r="M45" s="15">
        <f>IFERROR(L45/L$4*100,"-")</f>
        <v>4.7709923664122134E-2</v>
      </c>
      <c r="N45" s="220">
        <v>1</v>
      </c>
      <c r="O45" s="15">
        <f t="shared" si="15"/>
        <v>3.6166365280289332E-2</v>
      </c>
      <c r="P45" s="301"/>
      <c r="Q45" s="14"/>
    </row>
    <row r="46" spans="1:17" ht="20.100000000000001" customHeight="1">
      <c r="A46" s="222" t="s">
        <v>506</v>
      </c>
      <c r="B46" s="221">
        <v>2</v>
      </c>
      <c r="C46" s="15">
        <f t="shared" si="11"/>
        <v>2.2343872193051055E-2</v>
      </c>
      <c r="D46" s="221">
        <v>0</v>
      </c>
      <c r="E46" s="221">
        <v>0</v>
      </c>
      <c r="F46" s="221">
        <v>0</v>
      </c>
      <c r="G46" s="221">
        <v>0</v>
      </c>
      <c r="H46" s="221">
        <v>1</v>
      </c>
      <c r="I46" s="15">
        <f>IFERROR(H46/H$4*100,)</f>
        <v>7.9302141157811257E-2</v>
      </c>
      <c r="J46" s="221">
        <v>0</v>
      </c>
      <c r="K46" s="221">
        <v>0</v>
      </c>
      <c r="L46" s="221">
        <v>0</v>
      </c>
      <c r="M46" s="221">
        <v>0</v>
      </c>
      <c r="N46" s="221">
        <v>1</v>
      </c>
      <c r="O46" s="15">
        <f t="shared" si="15"/>
        <v>3.6166365280289332E-2</v>
      </c>
      <c r="P46" s="301"/>
      <c r="Q46" s="14"/>
    </row>
    <row r="47" spans="1:17" ht="20.100000000000001" customHeight="1">
      <c r="A47" s="222" t="s">
        <v>710</v>
      </c>
      <c r="B47" s="221">
        <v>2</v>
      </c>
      <c r="C47" s="15">
        <f t="shared" si="11"/>
        <v>2.2343872193051055E-2</v>
      </c>
      <c r="D47" s="221">
        <v>0</v>
      </c>
      <c r="E47" s="221">
        <v>0</v>
      </c>
      <c r="F47" s="221">
        <v>0</v>
      </c>
      <c r="G47" s="221">
        <v>0</v>
      </c>
      <c r="H47" s="221">
        <v>0</v>
      </c>
      <c r="I47" s="221">
        <v>0</v>
      </c>
      <c r="J47" s="221">
        <v>0</v>
      </c>
      <c r="K47" s="221">
        <v>0</v>
      </c>
      <c r="L47" s="221">
        <v>0</v>
      </c>
      <c r="M47" s="221">
        <v>0</v>
      </c>
      <c r="N47" s="221">
        <v>2</v>
      </c>
      <c r="O47" s="15">
        <f t="shared" si="15"/>
        <v>7.2332730560578665E-2</v>
      </c>
      <c r="P47" s="301"/>
      <c r="Q47" s="14"/>
    </row>
    <row r="48" spans="1:17" ht="20.100000000000001" customHeight="1">
      <c r="A48" s="120" t="s">
        <v>207</v>
      </c>
      <c r="B48" s="14">
        <f>SUM(D48+F48+H48+J48+L48+N48)</f>
        <v>1</v>
      </c>
      <c r="C48" s="15">
        <f t="shared" si="11"/>
        <v>1.1171936096525528E-2</v>
      </c>
      <c r="D48" s="14">
        <v>0</v>
      </c>
      <c r="E48" s="14">
        <v>0</v>
      </c>
      <c r="F48" s="14">
        <v>0</v>
      </c>
      <c r="G48" s="14">
        <v>0</v>
      </c>
      <c r="H48" s="14">
        <v>0</v>
      </c>
      <c r="I48" s="14">
        <v>0</v>
      </c>
      <c r="J48" s="14">
        <v>0</v>
      </c>
      <c r="K48" s="14">
        <v>0</v>
      </c>
      <c r="L48" s="14">
        <v>0</v>
      </c>
      <c r="M48" s="14">
        <v>0</v>
      </c>
      <c r="N48" s="220">
        <v>1</v>
      </c>
      <c r="O48" s="15">
        <f t="shared" si="15"/>
        <v>3.6166365280289332E-2</v>
      </c>
      <c r="P48" s="301"/>
      <c r="Q48" s="14"/>
    </row>
    <row r="49" spans="1:17" ht="20.100000000000001" customHeight="1">
      <c r="A49" s="120" t="s">
        <v>208</v>
      </c>
      <c r="B49" s="14">
        <f>SUM(D49+F49+H49+J49+L49+N49)</f>
        <v>1</v>
      </c>
      <c r="C49" s="15">
        <f t="shared" si="11"/>
        <v>1.1171936096525528E-2</v>
      </c>
      <c r="D49" s="14">
        <v>0</v>
      </c>
      <c r="E49" s="14">
        <v>0</v>
      </c>
      <c r="F49" s="14">
        <v>0</v>
      </c>
      <c r="G49" s="14">
        <v>0</v>
      </c>
      <c r="H49" s="14">
        <v>0</v>
      </c>
      <c r="I49" s="14">
        <v>0</v>
      </c>
      <c r="J49" s="14">
        <v>0</v>
      </c>
      <c r="K49" s="14">
        <v>0</v>
      </c>
      <c r="L49" s="14">
        <v>1</v>
      </c>
      <c r="M49" s="15">
        <f>IFERROR(L49/L$4*100,"-")</f>
        <v>4.7709923664122134E-2</v>
      </c>
      <c r="N49" s="221">
        <v>0</v>
      </c>
      <c r="O49" s="221">
        <v>0</v>
      </c>
      <c r="P49" s="301"/>
      <c r="Q49" s="14"/>
    </row>
    <row r="50" spans="1:17" ht="20.100000000000001" customHeight="1">
      <c r="A50" s="120" t="s">
        <v>532</v>
      </c>
      <c r="B50" s="221">
        <f>SUM(D50+F50+H50+J50+L50+N50)</f>
        <v>1</v>
      </c>
      <c r="C50" s="15">
        <f t="shared" si="11"/>
        <v>1.1171936096525528E-2</v>
      </c>
      <c r="D50" s="221">
        <v>0</v>
      </c>
      <c r="E50" s="221">
        <v>0</v>
      </c>
      <c r="F50" s="221">
        <v>0</v>
      </c>
      <c r="G50" s="221">
        <v>0</v>
      </c>
      <c r="H50" s="221">
        <v>1</v>
      </c>
      <c r="I50" s="15">
        <f>IFERROR(H50/H$4*100,)</f>
        <v>7.9302141157811257E-2</v>
      </c>
      <c r="J50" s="221">
        <v>0</v>
      </c>
      <c r="K50" s="221">
        <v>0</v>
      </c>
      <c r="L50" s="221">
        <v>0</v>
      </c>
      <c r="M50" s="221">
        <v>0</v>
      </c>
      <c r="N50" s="221">
        <v>0</v>
      </c>
      <c r="O50" s="221">
        <v>0</v>
      </c>
      <c r="P50" s="301"/>
      <c r="Q50" s="14"/>
    </row>
    <row r="51" spans="1:17" ht="20.100000000000001" customHeight="1">
      <c r="A51" s="222" t="s">
        <v>711</v>
      </c>
      <c r="B51" s="221">
        <v>1</v>
      </c>
      <c r="C51" s="15">
        <f t="shared" si="11"/>
        <v>1.1171936096525528E-2</v>
      </c>
      <c r="D51" s="221">
        <v>0</v>
      </c>
      <c r="E51" s="221">
        <v>0</v>
      </c>
      <c r="F51" s="221">
        <v>0</v>
      </c>
      <c r="G51" s="221">
        <v>0</v>
      </c>
      <c r="H51" s="221">
        <v>0</v>
      </c>
      <c r="I51" s="221">
        <v>0</v>
      </c>
      <c r="J51" s="221">
        <v>0</v>
      </c>
      <c r="K51" s="221">
        <v>0</v>
      </c>
      <c r="L51" s="221">
        <v>0</v>
      </c>
      <c r="M51" s="221">
        <v>0</v>
      </c>
      <c r="N51" s="221">
        <v>1</v>
      </c>
      <c r="O51" s="15">
        <f>IFERROR(N51/N$4*100,"-")</f>
        <v>3.6166365280289332E-2</v>
      </c>
      <c r="P51" s="301"/>
      <c r="Q51" s="14"/>
    </row>
    <row r="52" spans="1:17" ht="20.100000000000001" customHeight="1">
      <c r="A52" s="300" t="s">
        <v>712</v>
      </c>
      <c r="B52" s="223">
        <v>1</v>
      </c>
      <c r="C52" s="119">
        <f t="shared" si="11"/>
        <v>1.1171936096525528E-2</v>
      </c>
      <c r="D52" s="223">
        <v>0</v>
      </c>
      <c r="E52" s="223">
        <v>0</v>
      </c>
      <c r="F52" s="223">
        <v>0</v>
      </c>
      <c r="G52" s="223">
        <v>0</v>
      </c>
      <c r="H52" s="223">
        <v>0</v>
      </c>
      <c r="I52" s="223">
        <v>0</v>
      </c>
      <c r="J52" s="223">
        <v>0</v>
      </c>
      <c r="K52" s="223">
        <v>0</v>
      </c>
      <c r="L52" s="223">
        <v>0</v>
      </c>
      <c r="M52" s="223">
        <v>0</v>
      </c>
      <c r="N52" s="223">
        <v>1</v>
      </c>
      <c r="O52" s="119">
        <f>IFERROR(N52/N$4*100,"-")</f>
        <v>3.6166365280289332E-2</v>
      </c>
      <c r="P52" s="301"/>
      <c r="Q52" s="14"/>
    </row>
    <row r="53" spans="1:17" ht="18" customHeight="1">
      <c r="A53" s="477" t="s">
        <v>531</v>
      </c>
      <c r="B53" s="477"/>
      <c r="C53" s="477"/>
      <c r="D53" s="477"/>
      <c r="E53" s="15"/>
      <c r="F53" s="14"/>
      <c r="G53" s="15"/>
      <c r="H53" s="14"/>
      <c r="I53" s="15"/>
      <c r="J53" s="14"/>
      <c r="K53" s="15"/>
      <c r="L53" s="14"/>
      <c r="M53" s="15"/>
      <c r="N53" s="14"/>
      <c r="O53" s="15"/>
      <c r="P53" s="301"/>
      <c r="Q53" s="14"/>
    </row>
    <row r="54" spans="1:17">
      <c r="A54" s="467" t="s">
        <v>534</v>
      </c>
      <c r="B54" s="467"/>
      <c r="C54" s="467"/>
      <c r="D54" s="467"/>
      <c r="E54" s="467"/>
      <c r="F54" s="467"/>
      <c r="G54" s="467"/>
      <c r="H54" s="467"/>
      <c r="I54" s="467"/>
      <c r="J54" s="467"/>
      <c r="K54" s="467"/>
      <c r="L54" s="52"/>
      <c r="M54" s="224"/>
      <c r="N54" s="52"/>
      <c r="O54" s="224"/>
      <c r="P54" s="301"/>
      <c r="Q54" s="14"/>
    </row>
    <row r="55" spans="1:17" ht="16.5">
      <c r="A55" s="52"/>
      <c r="B55" s="52"/>
      <c r="C55" s="224"/>
      <c r="D55" s="117"/>
      <c r="E55" s="224"/>
      <c r="F55" s="52"/>
      <c r="G55" s="224"/>
      <c r="H55" s="52"/>
      <c r="I55" s="224"/>
      <c r="J55" s="52"/>
      <c r="K55" s="224"/>
      <c r="L55" s="52"/>
      <c r="M55" s="224"/>
      <c r="N55" s="52"/>
      <c r="O55" s="224"/>
      <c r="P55" s="101"/>
      <c r="Q55" s="14"/>
    </row>
    <row r="56" spans="1:17">
      <c r="P56" s="24"/>
      <c r="Q56" s="14"/>
    </row>
  </sheetData>
  <sortState ref="A5:O25">
    <sortCondition descending="1" ref="N5:N25"/>
  </sortState>
  <mergeCells count="11">
    <mergeCell ref="N2:O2"/>
    <mergeCell ref="A53:D53"/>
    <mergeCell ref="A54:K54"/>
    <mergeCell ref="A1:O1"/>
    <mergeCell ref="A2:A3"/>
    <mergeCell ref="B2:C2"/>
    <mergeCell ref="D2:E2"/>
    <mergeCell ref="F2:G2"/>
    <mergeCell ref="H2:I2"/>
    <mergeCell ref="J2:K2"/>
    <mergeCell ref="L2:M2"/>
  </mergeCells>
  <phoneticPr fontId="2" type="noConversion"/>
  <hyperlinks>
    <hyperlink ref="P1" location="本篇表次!A1" display="回本篇表次"/>
  </hyperlinks>
  <printOptions horizontalCentered="1"/>
  <pageMargins left="0.70866141732283472" right="0.70866141732283472" top="0.74803149606299213" bottom="0.74803149606299213" header="0.31496062992125984" footer="0.31496062992125984"/>
  <pageSetup paperSize="224" scale="5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27"/>
  <sheetViews>
    <sheetView showGridLines="0" zoomScale="120" zoomScaleNormal="120" workbookViewId="0">
      <pane xSplit="1" topLeftCell="B1" activePane="topRight" state="frozen"/>
      <selection activeCell="G17" sqref="G17"/>
      <selection pane="topRight" sqref="A1:K1"/>
    </sheetView>
  </sheetViews>
  <sheetFormatPr defaultColWidth="11" defaultRowHeight="16.5"/>
  <cols>
    <col min="1" max="1" width="26.875" customWidth="1"/>
    <col min="2" max="2" width="8.625" customWidth="1"/>
    <col min="3" max="3" width="8.5" customWidth="1"/>
    <col min="4" max="4" width="8.625" customWidth="1"/>
    <col min="5" max="5" width="9.5" customWidth="1"/>
    <col min="6" max="6" width="8.5" customWidth="1"/>
    <col min="7" max="11" width="8.125" customWidth="1"/>
    <col min="12" max="12" width="12.625" bestFit="1" customWidth="1"/>
  </cols>
  <sheetData>
    <row r="1" spans="1:12" ht="20.100000000000001" customHeight="1">
      <c r="A1" s="389" t="s">
        <v>549</v>
      </c>
      <c r="B1" s="389"/>
      <c r="C1" s="389"/>
      <c r="D1" s="389"/>
      <c r="E1" s="389"/>
      <c r="F1" s="389"/>
      <c r="G1" s="389"/>
      <c r="H1" s="389"/>
      <c r="I1" s="389"/>
      <c r="J1" s="389"/>
      <c r="K1" s="389"/>
      <c r="L1" s="242" t="s">
        <v>548</v>
      </c>
    </row>
    <row r="2" spans="1:12" ht="20.100000000000001" customHeight="1">
      <c r="A2" s="16"/>
      <c r="B2" s="479" t="s">
        <v>55</v>
      </c>
      <c r="C2" s="480"/>
      <c r="D2" s="479" t="s">
        <v>56</v>
      </c>
      <c r="E2" s="480"/>
      <c r="F2" s="479" t="s">
        <v>57</v>
      </c>
      <c r="G2" s="395"/>
      <c r="H2" s="479" t="s">
        <v>58</v>
      </c>
      <c r="I2" s="395"/>
      <c r="J2" s="479" t="s">
        <v>69</v>
      </c>
      <c r="K2" s="395"/>
    </row>
    <row r="3" spans="1:12" ht="20.100000000000001" customHeight="1">
      <c r="A3" s="4"/>
      <c r="B3" s="8" t="s">
        <v>59</v>
      </c>
      <c r="C3" s="8" t="s">
        <v>60</v>
      </c>
      <c r="D3" s="8" t="s">
        <v>59</v>
      </c>
      <c r="E3" s="8" t="s">
        <v>60</v>
      </c>
      <c r="F3" s="8" t="s">
        <v>59</v>
      </c>
      <c r="G3" s="8" t="s">
        <v>60</v>
      </c>
      <c r="H3" s="8" t="s">
        <v>59</v>
      </c>
      <c r="I3" s="8" t="s">
        <v>60</v>
      </c>
      <c r="J3" s="8" t="s">
        <v>59</v>
      </c>
      <c r="K3" s="8" t="s">
        <v>60</v>
      </c>
    </row>
    <row r="4" spans="1:12">
      <c r="A4" s="24" t="s">
        <v>61</v>
      </c>
      <c r="B4" s="10">
        <f t="shared" ref="B4:I4" si="0">SUM(B5:B13)</f>
        <v>9359</v>
      </c>
      <c r="C4" s="96">
        <f>SUM(C5:C13)</f>
        <v>99.999999999999986</v>
      </c>
      <c r="D4" s="10">
        <f t="shared" si="0"/>
        <v>8568</v>
      </c>
      <c r="E4" s="30">
        <f>SUM(E5:E13)</f>
        <v>100</v>
      </c>
      <c r="F4" s="10">
        <f t="shared" si="0"/>
        <v>8132</v>
      </c>
      <c r="G4" s="96">
        <f>SUM(G5:G13)</f>
        <v>99.999999999999986</v>
      </c>
      <c r="H4" s="29">
        <f t="shared" si="0"/>
        <v>8448</v>
      </c>
      <c r="I4" s="96">
        <f t="shared" si="0"/>
        <v>100</v>
      </c>
      <c r="J4" s="29">
        <f>SUM(J5:J13)</f>
        <v>7944</v>
      </c>
      <c r="K4" s="96">
        <f>SUM(K5:K13)</f>
        <v>100</v>
      </c>
    </row>
    <row r="5" spans="1:12" ht="20.100000000000001" customHeight="1">
      <c r="A5" s="24" t="s">
        <v>165</v>
      </c>
      <c r="B5" s="5">
        <v>4674</v>
      </c>
      <c r="C5" s="36">
        <f t="shared" ref="C5:C13" si="1">IFERROR(B5/B$4*100,"-")</f>
        <v>49.941233037717701</v>
      </c>
      <c r="D5" s="5">
        <v>4361</v>
      </c>
      <c r="E5" s="36">
        <f t="shared" ref="E5:E13" si="2">IFERROR(D5/D$4*100,"-")</f>
        <v>50.898692810457511</v>
      </c>
      <c r="F5" s="5">
        <v>4375</v>
      </c>
      <c r="G5" s="36">
        <f t="shared" ref="G5:G13" si="3">IFERROR(F5/F$4*100,"-")</f>
        <v>53.799803246433839</v>
      </c>
      <c r="H5" s="5">
        <v>4789</v>
      </c>
      <c r="I5" s="36">
        <f t="shared" ref="I5:I13" si="4">IFERROR(H5/H$4*100,"-")</f>
        <v>56.687973484848484</v>
      </c>
      <c r="J5" s="5">
        <v>4610</v>
      </c>
      <c r="K5" s="36">
        <f t="shared" ref="K5:K13" si="5">IFERROR(J5/J$4*100,"-")</f>
        <v>58.031218529707949</v>
      </c>
    </row>
    <row r="6" spans="1:12" ht="20.100000000000001" customHeight="1">
      <c r="A6" s="24" t="s">
        <v>137</v>
      </c>
      <c r="B6" s="5">
        <v>3518</v>
      </c>
      <c r="C6" s="36">
        <f t="shared" si="1"/>
        <v>37.589486056202588</v>
      </c>
      <c r="D6" s="5">
        <v>3117</v>
      </c>
      <c r="E6" s="36">
        <f t="shared" si="2"/>
        <v>36.379551820728288</v>
      </c>
      <c r="F6" s="5">
        <v>2816</v>
      </c>
      <c r="G6" s="36">
        <f t="shared" si="3"/>
        <v>34.628627643876051</v>
      </c>
      <c r="H6" s="5">
        <v>2790</v>
      </c>
      <c r="I6" s="36">
        <f t="shared" si="4"/>
        <v>33.02556818181818</v>
      </c>
      <c r="J6" s="5">
        <v>2424</v>
      </c>
      <c r="K6" s="36">
        <f t="shared" si="5"/>
        <v>30.513595166163142</v>
      </c>
    </row>
    <row r="7" spans="1:12" ht="20.100000000000001" customHeight="1">
      <c r="A7" s="24" t="s">
        <v>138</v>
      </c>
      <c r="B7" s="5">
        <v>939</v>
      </c>
      <c r="C7" s="36">
        <f t="shared" si="1"/>
        <v>10.033123196922748</v>
      </c>
      <c r="D7" s="5">
        <v>882</v>
      </c>
      <c r="E7" s="36">
        <f t="shared" si="2"/>
        <v>10.294117647058822</v>
      </c>
      <c r="F7" s="5">
        <v>742</v>
      </c>
      <c r="G7" s="36">
        <f t="shared" si="3"/>
        <v>9.1244466305951804</v>
      </c>
      <c r="H7" s="5">
        <v>663</v>
      </c>
      <c r="I7" s="36">
        <f t="shared" si="4"/>
        <v>7.8480113636363633</v>
      </c>
      <c r="J7" s="5">
        <v>725</v>
      </c>
      <c r="K7" s="36">
        <f t="shared" si="5"/>
        <v>9.1263846928499497</v>
      </c>
    </row>
    <row r="8" spans="1:12" ht="20.100000000000001" customHeight="1">
      <c r="A8" s="24" t="s">
        <v>166</v>
      </c>
      <c r="B8" s="5">
        <v>128</v>
      </c>
      <c r="C8" s="36">
        <f t="shared" si="1"/>
        <v>1.3676674858425046</v>
      </c>
      <c r="D8" s="5">
        <v>112</v>
      </c>
      <c r="E8" s="36">
        <f t="shared" si="2"/>
        <v>1.3071895424836601</v>
      </c>
      <c r="F8" s="5">
        <v>105</v>
      </c>
      <c r="G8" s="36">
        <f t="shared" si="3"/>
        <v>1.2911952779144122</v>
      </c>
      <c r="H8" s="5">
        <v>100</v>
      </c>
      <c r="I8" s="36">
        <f t="shared" si="4"/>
        <v>1.1837121212121211</v>
      </c>
      <c r="J8" s="5">
        <v>51</v>
      </c>
      <c r="K8" s="36">
        <f t="shared" si="5"/>
        <v>0.64199395770392753</v>
      </c>
    </row>
    <row r="9" spans="1:12" ht="20.100000000000001" customHeight="1">
      <c r="A9" s="24" t="s">
        <v>139</v>
      </c>
      <c r="B9" s="5">
        <v>38</v>
      </c>
      <c r="C9" s="36">
        <f t="shared" si="1"/>
        <v>0.40602628485949349</v>
      </c>
      <c r="D9" s="5">
        <v>28</v>
      </c>
      <c r="E9" s="36">
        <f t="shared" si="2"/>
        <v>0.32679738562091504</v>
      </c>
      <c r="F9" s="5">
        <v>40</v>
      </c>
      <c r="G9" s="36">
        <f t="shared" si="3"/>
        <v>0.49188391539596654</v>
      </c>
      <c r="H9" s="5">
        <v>55</v>
      </c>
      <c r="I9" s="36">
        <f t="shared" si="4"/>
        <v>0.65104166666666674</v>
      </c>
      <c r="J9" s="5">
        <v>56</v>
      </c>
      <c r="K9" s="36">
        <f t="shared" si="5"/>
        <v>0.70493454179254789</v>
      </c>
    </row>
    <row r="10" spans="1:12" ht="20.100000000000001" customHeight="1">
      <c r="A10" s="89" t="s">
        <v>167</v>
      </c>
      <c r="B10" s="5">
        <v>46</v>
      </c>
      <c r="C10" s="36">
        <f t="shared" si="1"/>
        <v>0.4915055027246501</v>
      </c>
      <c r="D10" s="5">
        <v>40</v>
      </c>
      <c r="E10" s="36">
        <f t="shared" si="2"/>
        <v>0.46685340802987862</v>
      </c>
      <c r="F10" s="5">
        <v>45</v>
      </c>
      <c r="G10" s="36">
        <f t="shared" si="3"/>
        <v>0.55336940482046237</v>
      </c>
      <c r="H10" s="5">
        <v>44</v>
      </c>
      <c r="I10" s="36">
        <f t="shared" si="4"/>
        <v>0.52083333333333326</v>
      </c>
      <c r="J10" s="5">
        <v>50</v>
      </c>
      <c r="K10" s="36">
        <f t="shared" si="5"/>
        <v>0.62940584088620344</v>
      </c>
    </row>
    <row r="11" spans="1:12" ht="20.100000000000001" customHeight="1">
      <c r="A11" s="24" t="s">
        <v>140</v>
      </c>
      <c r="B11" s="5">
        <v>16</v>
      </c>
      <c r="C11" s="36">
        <f t="shared" si="1"/>
        <v>0.17095843573031308</v>
      </c>
      <c r="D11" s="5">
        <v>28</v>
      </c>
      <c r="E11" s="36">
        <f t="shared" si="2"/>
        <v>0.32679738562091504</v>
      </c>
      <c r="F11" s="5">
        <v>8</v>
      </c>
      <c r="G11" s="36">
        <f t="shared" si="3"/>
        <v>9.83767830791933E-2</v>
      </c>
      <c r="H11" s="5">
        <v>6</v>
      </c>
      <c r="I11" s="36">
        <f t="shared" si="4"/>
        <v>7.1022727272727279E-2</v>
      </c>
      <c r="J11" s="5">
        <v>28</v>
      </c>
      <c r="K11" s="36">
        <f t="shared" si="5"/>
        <v>0.35246727089627394</v>
      </c>
    </row>
    <row r="12" spans="1:12" ht="20.100000000000001" customHeight="1">
      <c r="A12" s="24" t="s">
        <v>143</v>
      </c>
      <c r="B12" s="5" t="s">
        <v>49</v>
      </c>
      <c r="C12" s="36" t="str">
        <f>IFERROR(B12/B$4*100,"-")</f>
        <v>-</v>
      </c>
      <c r="D12" s="5" t="s">
        <v>49</v>
      </c>
      <c r="E12" s="36" t="str">
        <f>IFERROR(D12/D$4*100,"-")</f>
        <v>-</v>
      </c>
      <c r="F12" s="5" t="s">
        <v>49</v>
      </c>
      <c r="G12" s="36" t="str">
        <f>IFERROR(F12/F$4*100,"-")</f>
        <v>-</v>
      </c>
      <c r="H12" s="5" t="s">
        <v>49</v>
      </c>
      <c r="I12" s="36" t="str">
        <f>IFERROR(H12/H$4*100,"-")</f>
        <v>-</v>
      </c>
      <c r="J12" s="5" t="s">
        <v>49</v>
      </c>
      <c r="K12" s="36" t="str">
        <f t="shared" si="5"/>
        <v>-</v>
      </c>
    </row>
    <row r="13" spans="1:12" ht="20.100000000000001" customHeight="1" thickBot="1">
      <c r="A13" s="37" t="s">
        <v>168</v>
      </c>
      <c r="B13" s="26" t="s">
        <v>49</v>
      </c>
      <c r="C13" s="61" t="str">
        <f t="shared" si="1"/>
        <v>-</v>
      </c>
      <c r="D13" s="26" t="s">
        <v>49</v>
      </c>
      <c r="E13" s="61" t="str">
        <f t="shared" si="2"/>
        <v>-</v>
      </c>
      <c r="F13" s="26">
        <v>1</v>
      </c>
      <c r="G13" s="61">
        <f t="shared" si="3"/>
        <v>1.2297097884899163E-2</v>
      </c>
      <c r="H13" s="26">
        <v>1</v>
      </c>
      <c r="I13" s="61">
        <f t="shared" si="4"/>
        <v>1.1837121212121212E-2</v>
      </c>
      <c r="J13" s="61" t="s">
        <v>49</v>
      </c>
      <c r="K13" s="61" t="str">
        <f t="shared" si="5"/>
        <v>-</v>
      </c>
    </row>
    <row r="14" spans="1:12" ht="20.100000000000001" customHeight="1">
      <c r="A14" s="90"/>
      <c r="B14" s="463" t="s">
        <v>70</v>
      </c>
      <c r="C14" s="481"/>
      <c r="D14" s="463" t="s">
        <v>71</v>
      </c>
      <c r="E14" s="481"/>
      <c r="F14" s="463" t="s">
        <v>72</v>
      </c>
      <c r="G14" s="474"/>
      <c r="H14" s="463" t="s">
        <v>540</v>
      </c>
      <c r="I14" s="474"/>
      <c r="J14" s="463" t="s">
        <v>622</v>
      </c>
      <c r="K14" s="474"/>
    </row>
    <row r="15" spans="1:12" ht="20.100000000000001" customHeight="1">
      <c r="A15" s="90"/>
      <c r="B15" s="8" t="s">
        <v>59</v>
      </c>
      <c r="C15" s="8" t="s">
        <v>60</v>
      </c>
      <c r="D15" s="8" t="s">
        <v>59</v>
      </c>
      <c r="E15" s="8" t="s">
        <v>60</v>
      </c>
      <c r="F15" s="8" t="s">
        <v>59</v>
      </c>
      <c r="G15" s="8" t="s">
        <v>60</v>
      </c>
      <c r="H15" s="8" t="s">
        <v>169</v>
      </c>
      <c r="I15" s="8" t="s">
        <v>60</v>
      </c>
      <c r="J15" s="8" t="s">
        <v>169</v>
      </c>
      <c r="K15" s="8" t="s">
        <v>60</v>
      </c>
    </row>
    <row r="16" spans="1:12">
      <c r="A16" s="24" t="s">
        <v>61</v>
      </c>
      <c r="B16" s="29">
        <f t="shared" ref="B16:K16" si="6">SUM(B17:B25)</f>
        <v>7829</v>
      </c>
      <c r="C16" s="96">
        <f t="shared" si="6"/>
        <v>100.00000000000001</v>
      </c>
      <c r="D16" s="29">
        <f t="shared" si="6"/>
        <v>8765</v>
      </c>
      <c r="E16" s="30">
        <f t="shared" si="6"/>
        <v>100.00000000000001</v>
      </c>
      <c r="F16" s="29">
        <f t="shared" si="6"/>
        <v>8121</v>
      </c>
      <c r="G16" s="96">
        <f t="shared" si="6"/>
        <v>100.00000000000001</v>
      </c>
      <c r="H16" s="29">
        <f t="shared" si="6"/>
        <v>8987</v>
      </c>
      <c r="I16" s="96">
        <f t="shared" si="6"/>
        <v>100</v>
      </c>
      <c r="J16" s="29">
        <f t="shared" si="6"/>
        <v>8951</v>
      </c>
      <c r="K16" s="96">
        <f t="shared" si="6"/>
        <v>100</v>
      </c>
    </row>
    <row r="17" spans="1:11" ht="20.100000000000001" customHeight="1">
      <c r="A17" s="24" t="s">
        <v>165</v>
      </c>
      <c r="B17" s="5">
        <v>4535</v>
      </c>
      <c r="C17" s="36">
        <f t="shared" ref="C17:C25" si="7">IFERROR(B17/B$16*100,"-")</f>
        <v>57.92566100395964</v>
      </c>
      <c r="D17" s="5">
        <v>5096</v>
      </c>
      <c r="E17" s="36">
        <f t="shared" ref="E17:E25" si="8">IFERROR(D17/D$16*100,"-")</f>
        <v>58.140330861380498</v>
      </c>
      <c r="F17" s="5">
        <v>4771</v>
      </c>
      <c r="G17" s="36">
        <f t="shared" ref="G17:G25" si="9">IFERROR(F17/F$16*100,"-")</f>
        <v>58.74892254648443</v>
      </c>
      <c r="H17" s="5">
        <v>5126</v>
      </c>
      <c r="I17" s="36">
        <f t="shared" ref="I17:I24" si="10">IFERROR(H17/H$16*100,"-")</f>
        <v>57.037943696450434</v>
      </c>
      <c r="J17" s="5">
        <f>2002+364+159+72+26+270+1865+196</f>
        <v>4954</v>
      </c>
      <c r="K17" s="36">
        <f>IFERROR(J17/J$16*100,"-")</f>
        <v>55.345771422187461</v>
      </c>
    </row>
    <row r="18" spans="1:11" ht="20.100000000000001" customHeight="1">
      <c r="A18" s="24" t="s">
        <v>137</v>
      </c>
      <c r="B18" s="5">
        <v>2398</v>
      </c>
      <c r="C18" s="36">
        <f t="shared" si="7"/>
        <v>30.629710052369397</v>
      </c>
      <c r="D18" s="5">
        <v>2921</v>
      </c>
      <c r="E18" s="36">
        <f t="shared" si="8"/>
        <v>33.325727324586424</v>
      </c>
      <c r="F18" s="5">
        <v>2650</v>
      </c>
      <c r="G18" s="36">
        <f t="shared" si="9"/>
        <v>32.631449328900381</v>
      </c>
      <c r="H18" s="5">
        <v>2966</v>
      </c>
      <c r="I18" s="36">
        <f t="shared" si="10"/>
        <v>33.003226883275843</v>
      </c>
      <c r="J18" s="5">
        <f>1928+378+395+44+318+38+127+9</f>
        <v>3237</v>
      </c>
      <c r="K18" s="36">
        <f t="shared" ref="K18:K25" si="11">IFERROR(J18/J$16*100,"-")</f>
        <v>36.163557144453137</v>
      </c>
    </row>
    <row r="19" spans="1:11" ht="20.100000000000001" customHeight="1">
      <c r="A19" s="24" t="s">
        <v>138</v>
      </c>
      <c r="B19" s="5">
        <v>697</v>
      </c>
      <c r="C19" s="36">
        <f t="shared" si="7"/>
        <v>8.9027972921190432</v>
      </c>
      <c r="D19" s="5">
        <v>550</v>
      </c>
      <c r="E19" s="36">
        <f t="shared" si="8"/>
        <v>6.2749572162007983</v>
      </c>
      <c r="F19" s="5">
        <v>518</v>
      </c>
      <c r="G19" s="36">
        <f t="shared" si="9"/>
        <v>6.378524812215244</v>
      </c>
      <c r="H19" s="5">
        <v>693</v>
      </c>
      <c r="I19" s="36">
        <f t="shared" si="10"/>
        <v>7.7111383108935128</v>
      </c>
      <c r="J19" s="5">
        <f>451+52+47</f>
        <v>550</v>
      </c>
      <c r="K19" s="36">
        <f t="shared" si="11"/>
        <v>6.1445648530890402</v>
      </c>
    </row>
    <row r="20" spans="1:11" ht="20.100000000000001" customHeight="1">
      <c r="A20" s="24" t="s">
        <v>166</v>
      </c>
      <c r="B20" s="5">
        <v>85</v>
      </c>
      <c r="C20" s="36">
        <f t="shared" si="7"/>
        <v>1.0857069868437859</v>
      </c>
      <c r="D20" s="5">
        <v>80</v>
      </c>
      <c r="E20" s="36">
        <f t="shared" si="8"/>
        <v>0.91272104962920697</v>
      </c>
      <c r="F20" s="5">
        <v>76</v>
      </c>
      <c r="G20" s="36">
        <f t="shared" si="9"/>
        <v>0.93584533924393543</v>
      </c>
      <c r="H20" s="5">
        <v>99</v>
      </c>
      <c r="I20" s="36">
        <f t="shared" si="10"/>
        <v>1.101591187270502</v>
      </c>
      <c r="J20" s="5">
        <f>48+11+6+16</f>
        <v>81</v>
      </c>
      <c r="K20" s="36">
        <f t="shared" si="11"/>
        <v>0.9049268238185677</v>
      </c>
    </row>
    <row r="21" spans="1:11" ht="20.100000000000001" customHeight="1">
      <c r="A21" s="24" t="s">
        <v>139</v>
      </c>
      <c r="B21" s="5">
        <v>52</v>
      </c>
      <c r="C21" s="36">
        <f t="shared" si="7"/>
        <v>0.66419721548090438</v>
      </c>
      <c r="D21" s="5">
        <v>49</v>
      </c>
      <c r="E21" s="36">
        <f t="shared" si="8"/>
        <v>0.55904164289788927</v>
      </c>
      <c r="F21" s="5">
        <v>58</v>
      </c>
      <c r="G21" s="36">
        <f t="shared" si="9"/>
        <v>0.71419775889668757</v>
      </c>
      <c r="H21" s="5">
        <v>61</v>
      </c>
      <c r="I21" s="36">
        <f t="shared" si="10"/>
        <v>0.678758206297986</v>
      </c>
      <c r="J21" s="5">
        <f>35+7+9+3+11+5</f>
        <v>70</v>
      </c>
      <c r="K21" s="36">
        <f t="shared" si="11"/>
        <v>0.782035526756787</v>
      </c>
    </row>
    <row r="22" spans="1:11" ht="20.100000000000001" customHeight="1">
      <c r="A22" s="89" t="s">
        <v>167</v>
      </c>
      <c r="B22" s="5">
        <v>42</v>
      </c>
      <c r="C22" s="36">
        <f t="shared" si="7"/>
        <v>0.53646698173457652</v>
      </c>
      <c r="D22" s="5">
        <v>59</v>
      </c>
      <c r="E22" s="36">
        <f t="shared" si="8"/>
        <v>0.67313177410154024</v>
      </c>
      <c r="F22" s="5">
        <v>40</v>
      </c>
      <c r="G22" s="36">
        <f t="shared" si="9"/>
        <v>0.49255017854943972</v>
      </c>
      <c r="H22" s="5">
        <v>29</v>
      </c>
      <c r="I22" s="36">
        <f t="shared" si="10"/>
        <v>0.32268832758428839</v>
      </c>
      <c r="J22" s="5">
        <f>42+8</f>
        <v>50</v>
      </c>
      <c r="K22" s="36">
        <f t="shared" si="11"/>
        <v>0.55859680482627638</v>
      </c>
    </row>
    <row r="23" spans="1:11" ht="20.100000000000001" customHeight="1">
      <c r="A23" s="24" t="s">
        <v>140</v>
      </c>
      <c r="B23" s="5">
        <v>18</v>
      </c>
      <c r="C23" s="36">
        <f t="shared" si="7"/>
        <v>0.22991442074338994</v>
      </c>
      <c r="D23" s="5">
        <v>10</v>
      </c>
      <c r="E23" s="36">
        <f t="shared" si="8"/>
        <v>0.11409013120365087</v>
      </c>
      <c r="F23" s="5">
        <v>8</v>
      </c>
      <c r="G23" s="36">
        <f t="shared" si="9"/>
        <v>9.8510035709887936E-2</v>
      </c>
      <c r="H23" s="5">
        <v>12</v>
      </c>
      <c r="I23" s="36">
        <f t="shared" si="10"/>
        <v>0.13352620451763658</v>
      </c>
      <c r="J23" s="5">
        <v>8</v>
      </c>
      <c r="K23" s="36">
        <f t="shared" si="11"/>
        <v>8.937548877220422E-2</v>
      </c>
    </row>
    <row r="24" spans="1:11" ht="20.100000000000001" customHeight="1">
      <c r="A24" s="24" t="s">
        <v>143</v>
      </c>
      <c r="B24" s="5" t="s">
        <v>49</v>
      </c>
      <c r="C24" s="36" t="str">
        <f t="shared" si="7"/>
        <v>-</v>
      </c>
      <c r="D24" s="5" t="s">
        <v>49</v>
      </c>
      <c r="E24" s="36" t="str">
        <f t="shared" si="8"/>
        <v>-</v>
      </c>
      <c r="F24" s="5" t="s">
        <v>49</v>
      </c>
      <c r="G24" s="36" t="str">
        <f t="shared" si="9"/>
        <v>-</v>
      </c>
      <c r="H24" s="5">
        <v>1</v>
      </c>
      <c r="I24" s="36">
        <f t="shared" si="10"/>
        <v>1.1127183709803048E-2</v>
      </c>
      <c r="J24" s="5">
        <v>1</v>
      </c>
      <c r="K24" s="36">
        <f t="shared" si="11"/>
        <v>1.1171936096525528E-2</v>
      </c>
    </row>
    <row r="25" spans="1:11" ht="20.100000000000001" customHeight="1">
      <c r="A25" s="35" t="s">
        <v>168</v>
      </c>
      <c r="B25" s="7">
        <v>2</v>
      </c>
      <c r="C25" s="49">
        <f t="shared" si="7"/>
        <v>2.5546046749265552E-2</v>
      </c>
      <c r="D25" s="7" t="s">
        <v>49</v>
      </c>
      <c r="E25" s="49" t="str">
        <f t="shared" si="8"/>
        <v>-</v>
      </c>
      <c r="F25" s="7" t="s">
        <v>49</v>
      </c>
      <c r="G25" s="49" t="str">
        <f t="shared" si="9"/>
        <v>-</v>
      </c>
      <c r="H25" s="7">
        <v>0</v>
      </c>
      <c r="I25" s="7">
        <v>0</v>
      </c>
      <c r="J25" s="7" t="s">
        <v>9</v>
      </c>
      <c r="K25" s="49" t="str">
        <f t="shared" si="11"/>
        <v>-</v>
      </c>
    </row>
    <row r="26" spans="1:11">
      <c r="A26" s="397" t="s">
        <v>144</v>
      </c>
      <c r="B26" s="397"/>
      <c r="C26" s="397"/>
      <c r="D26" s="56"/>
      <c r="E26" s="56"/>
      <c r="F26" s="56"/>
      <c r="G26" s="56"/>
      <c r="H26" s="93"/>
      <c r="I26" s="84"/>
      <c r="J26" s="83"/>
      <c r="K26" s="83"/>
    </row>
    <row r="27" spans="1:11" ht="30.75" customHeight="1">
      <c r="A27" s="470" t="s">
        <v>536</v>
      </c>
      <c r="B27" s="470"/>
      <c r="C27" s="470"/>
      <c r="D27" s="470"/>
      <c r="E27" s="470"/>
      <c r="F27" s="470"/>
      <c r="G27" s="470"/>
      <c r="H27" s="470"/>
      <c r="I27" s="470"/>
      <c r="J27" s="470"/>
      <c r="K27" s="470"/>
    </row>
  </sheetData>
  <sortState ref="A17:K25">
    <sortCondition descending="1" ref="J17:J25"/>
  </sortState>
  <mergeCells count="13">
    <mergeCell ref="A27:K27"/>
    <mergeCell ref="J2:K2"/>
    <mergeCell ref="B14:C14"/>
    <mergeCell ref="D14:E14"/>
    <mergeCell ref="F14:G14"/>
    <mergeCell ref="H14:I14"/>
    <mergeCell ref="A26:C26"/>
    <mergeCell ref="J14:K14"/>
    <mergeCell ref="A1:K1"/>
    <mergeCell ref="B2:C2"/>
    <mergeCell ref="D2:E2"/>
    <mergeCell ref="F2:G2"/>
    <mergeCell ref="H2:I2"/>
  </mergeCells>
  <phoneticPr fontId="3" type="noConversion"/>
  <hyperlinks>
    <hyperlink ref="L1" location="本篇表次!A1" display="回本篇表次"/>
  </hyperlinks>
  <printOptions horizontalCentered="1" verticalCentered="1"/>
  <pageMargins left="0.70866141732283472" right="0.70866141732283472" top="0.74803149606299213" bottom="0.74803149606299213" header="0.31496062992125984" footer="0.31496062992125984"/>
  <pageSetup paperSize="224" scale="7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27"/>
  <sheetViews>
    <sheetView showGridLines="0" zoomScale="110" zoomScaleNormal="110" workbookViewId="0">
      <pane xSplit="1" topLeftCell="B1" activePane="topRight" state="frozen"/>
      <selection activeCell="G17" sqref="G17"/>
      <selection pane="topRight" sqref="A1:U1"/>
    </sheetView>
  </sheetViews>
  <sheetFormatPr defaultColWidth="7.625" defaultRowHeight="16.5"/>
  <cols>
    <col min="1" max="1" width="15.625" customWidth="1"/>
    <col min="17" max="17" width="8.125" bestFit="1" customWidth="1"/>
    <col min="21" max="21" width="8.125" bestFit="1" customWidth="1"/>
    <col min="22" max="22" width="12.875" bestFit="1" customWidth="1"/>
  </cols>
  <sheetData>
    <row r="1" spans="1:22" ht="26.1" customHeight="1">
      <c r="A1" s="389" t="s">
        <v>550</v>
      </c>
      <c r="B1" s="389"/>
      <c r="C1" s="389"/>
      <c r="D1" s="389"/>
      <c r="E1" s="389"/>
      <c r="F1" s="389"/>
      <c r="G1" s="389"/>
      <c r="H1" s="389"/>
      <c r="I1" s="389"/>
      <c r="J1" s="389"/>
      <c r="K1" s="389"/>
      <c r="L1" s="389"/>
      <c r="M1" s="389"/>
      <c r="N1" s="389"/>
      <c r="O1" s="389"/>
      <c r="P1" s="389"/>
      <c r="Q1" s="389"/>
      <c r="R1" s="389"/>
      <c r="S1" s="389"/>
      <c r="T1" s="389"/>
      <c r="U1" s="389"/>
      <c r="V1" s="242" t="s">
        <v>548</v>
      </c>
    </row>
    <row r="2" spans="1:22" ht="20.100000000000001" customHeight="1">
      <c r="A2" s="482"/>
      <c r="B2" s="395" t="s">
        <v>37</v>
      </c>
      <c r="C2" s="395"/>
      <c r="D2" s="395"/>
      <c r="E2" s="395"/>
      <c r="F2" s="395" t="s">
        <v>38</v>
      </c>
      <c r="G2" s="480"/>
      <c r="H2" s="480"/>
      <c r="I2" s="480"/>
      <c r="J2" s="395" t="s">
        <v>39</v>
      </c>
      <c r="K2" s="395"/>
      <c r="L2" s="395"/>
      <c r="M2" s="395"/>
      <c r="N2" s="395" t="s">
        <v>40</v>
      </c>
      <c r="O2" s="395"/>
      <c r="P2" s="395"/>
      <c r="Q2" s="395"/>
      <c r="R2" s="395" t="s">
        <v>41</v>
      </c>
      <c r="S2" s="395"/>
      <c r="T2" s="395"/>
      <c r="U2" s="395"/>
    </row>
    <row r="3" spans="1:22" ht="20.100000000000001" customHeight="1">
      <c r="A3" s="483"/>
      <c r="B3" s="395" t="s">
        <v>156</v>
      </c>
      <c r="C3" s="395"/>
      <c r="D3" s="395"/>
      <c r="E3" s="391" t="s">
        <v>75</v>
      </c>
      <c r="F3" s="395" t="s">
        <v>156</v>
      </c>
      <c r="G3" s="480"/>
      <c r="H3" s="480"/>
      <c r="I3" s="391" t="s">
        <v>75</v>
      </c>
      <c r="J3" s="395" t="s">
        <v>156</v>
      </c>
      <c r="K3" s="395"/>
      <c r="L3" s="395"/>
      <c r="M3" s="391" t="s">
        <v>75</v>
      </c>
      <c r="N3" s="395" t="s">
        <v>156</v>
      </c>
      <c r="O3" s="395"/>
      <c r="P3" s="395"/>
      <c r="Q3" s="391" t="s">
        <v>75</v>
      </c>
      <c r="R3" s="395" t="s">
        <v>156</v>
      </c>
      <c r="S3" s="395"/>
      <c r="T3" s="395"/>
      <c r="U3" s="391" t="s">
        <v>75</v>
      </c>
    </row>
    <row r="4" spans="1:22" ht="20.100000000000001" customHeight="1">
      <c r="A4" s="483"/>
      <c r="B4" s="8" t="s">
        <v>48</v>
      </c>
      <c r="C4" s="86" t="s">
        <v>53</v>
      </c>
      <c r="D4" s="86" t="s">
        <v>54</v>
      </c>
      <c r="E4" s="463"/>
      <c r="F4" s="8" t="s">
        <v>48</v>
      </c>
      <c r="G4" s="86" t="s">
        <v>53</v>
      </c>
      <c r="H4" s="86" t="s">
        <v>54</v>
      </c>
      <c r="I4" s="463"/>
      <c r="J4" s="8" t="s">
        <v>48</v>
      </c>
      <c r="K4" s="86" t="s">
        <v>53</v>
      </c>
      <c r="L4" s="86" t="s">
        <v>54</v>
      </c>
      <c r="M4" s="463"/>
      <c r="N4" s="8" t="s">
        <v>48</v>
      </c>
      <c r="O4" s="86" t="s">
        <v>53</v>
      </c>
      <c r="P4" s="86" t="s">
        <v>54</v>
      </c>
      <c r="Q4" s="463"/>
      <c r="R4" s="8" t="s">
        <v>48</v>
      </c>
      <c r="S4" s="86" t="s">
        <v>53</v>
      </c>
      <c r="T4" s="86" t="s">
        <v>54</v>
      </c>
      <c r="U4" s="463"/>
    </row>
    <row r="5" spans="1:22" ht="20.100000000000001" customHeight="1">
      <c r="A5" s="24" t="s">
        <v>48</v>
      </c>
      <c r="B5" s="74">
        <f t="shared" ref="B5:B10" si="0">SUM(C5,D5)</f>
        <v>9359</v>
      </c>
      <c r="C5" s="74">
        <v>8144</v>
      </c>
      <c r="D5" s="74">
        <v>1215</v>
      </c>
      <c r="E5" s="75">
        <f>SUM(E6:E10)</f>
        <v>100</v>
      </c>
      <c r="F5" s="76">
        <f t="shared" ref="F5:F10" si="1">SUM(G5,H5)</f>
        <v>8568</v>
      </c>
      <c r="G5" s="76">
        <v>7410</v>
      </c>
      <c r="H5" s="76">
        <v>1158</v>
      </c>
      <c r="I5" s="75">
        <f>SUM(I6:I10)</f>
        <v>100</v>
      </c>
      <c r="J5" s="74">
        <f t="shared" ref="J5:J10" si="2">SUM(K5,L5)</f>
        <v>8132</v>
      </c>
      <c r="K5" s="74">
        <v>7042</v>
      </c>
      <c r="L5" s="74">
        <v>1090</v>
      </c>
      <c r="M5" s="75">
        <f>SUM(M6:M10)</f>
        <v>100</v>
      </c>
      <c r="N5" s="74">
        <f t="shared" ref="N5:N10" si="3">SUM(O5,P5)</f>
        <v>8448</v>
      </c>
      <c r="O5" s="74">
        <v>7351</v>
      </c>
      <c r="P5" s="74">
        <v>1097</v>
      </c>
      <c r="Q5" s="75">
        <f>SUM(Q6:Q10)</f>
        <v>100.00000000000001</v>
      </c>
      <c r="R5" s="74">
        <f t="shared" ref="R5:R10" si="4">SUM(S5,T5)</f>
        <v>7944</v>
      </c>
      <c r="S5" s="74">
        <v>6907</v>
      </c>
      <c r="T5" s="74">
        <v>1037</v>
      </c>
      <c r="U5" s="75">
        <f>SUM(U6:U10)</f>
        <v>100</v>
      </c>
    </row>
    <row r="6" spans="1:22" ht="20.100000000000001" customHeight="1">
      <c r="A6" s="24" t="s">
        <v>158</v>
      </c>
      <c r="B6" s="74">
        <f t="shared" si="0"/>
        <v>5063</v>
      </c>
      <c r="C6" s="74">
        <v>4382</v>
      </c>
      <c r="D6" s="74">
        <v>681</v>
      </c>
      <c r="E6" s="75">
        <f>IFERROR(B6/B$5*100,"-")</f>
        <v>54.097660006410941</v>
      </c>
      <c r="F6" s="74">
        <f t="shared" si="1"/>
        <v>4464</v>
      </c>
      <c r="G6" s="74">
        <v>3870</v>
      </c>
      <c r="H6" s="74">
        <v>594</v>
      </c>
      <c r="I6" s="75">
        <f>IFERROR(F6/F$5*100,"-")</f>
        <v>52.100840336134461</v>
      </c>
      <c r="J6" s="74">
        <f t="shared" si="2"/>
        <v>4176</v>
      </c>
      <c r="K6" s="74">
        <v>3591</v>
      </c>
      <c r="L6" s="74">
        <v>585</v>
      </c>
      <c r="M6" s="75">
        <f>IFERROR(J6/J$5*100,"-")</f>
        <v>51.35268076733891</v>
      </c>
      <c r="N6" s="74">
        <f t="shared" si="3"/>
        <v>4203</v>
      </c>
      <c r="O6" s="74">
        <v>3672</v>
      </c>
      <c r="P6" s="74">
        <v>531</v>
      </c>
      <c r="Q6" s="75">
        <f>IFERROR(N6/N$5*100,"-")</f>
        <v>49.751420454545453</v>
      </c>
      <c r="R6" s="74">
        <f t="shared" si="4"/>
        <v>3746</v>
      </c>
      <c r="S6" s="74">
        <v>3254</v>
      </c>
      <c r="T6" s="74">
        <v>492</v>
      </c>
      <c r="U6" s="75">
        <f>IFERROR(R6/R$5*100,"-")</f>
        <v>47.155085599194365</v>
      </c>
    </row>
    <row r="7" spans="1:22" ht="20.100000000000001" customHeight="1">
      <c r="A7" s="24" t="s">
        <v>159</v>
      </c>
      <c r="B7" s="74">
        <f t="shared" si="0"/>
        <v>1591</v>
      </c>
      <c r="C7" s="74">
        <v>1464</v>
      </c>
      <c r="D7" s="74">
        <v>127</v>
      </c>
      <c r="E7" s="75">
        <f>IFERROR(B7/B$5*100,"-")</f>
        <v>16.999679452933005</v>
      </c>
      <c r="F7" s="74">
        <f t="shared" si="1"/>
        <v>1585</v>
      </c>
      <c r="G7" s="74">
        <v>1440</v>
      </c>
      <c r="H7" s="74">
        <v>145</v>
      </c>
      <c r="I7" s="75">
        <f>IFERROR(F7/F$5*100,"-")</f>
        <v>18.49906629318394</v>
      </c>
      <c r="J7" s="74">
        <f t="shared" si="2"/>
        <v>1502</v>
      </c>
      <c r="K7" s="74">
        <v>1372</v>
      </c>
      <c r="L7" s="74">
        <v>130</v>
      </c>
      <c r="M7" s="75">
        <f>IFERROR(J7/J$5*100,"-")</f>
        <v>18.470241023118543</v>
      </c>
      <c r="N7" s="74">
        <f t="shared" si="3"/>
        <v>1574</v>
      </c>
      <c r="O7" s="74">
        <v>1437</v>
      </c>
      <c r="P7" s="74">
        <v>137</v>
      </c>
      <c r="Q7" s="75">
        <f>IFERROR(N7/N$5*100,"-")</f>
        <v>18.631628787878789</v>
      </c>
      <c r="R7" s="74">
        <f t="shared" si="4"/>
        <v>1665</v>
      </c>
      <c r="S7" s="74">
        <v>1496</v>
      </c>
      <c r="T7" s="74">
        <v>169</v>
      </c>
      <c r="U7" s="75">
        <f>IFERROR(R7/R$5*100,"-")</f>
        <v>20.959214501510573</v>
      </c>
    </row>
    <row r="8" spans="1:22" ht="20.100000000000001" customHeight="1">
      <c r="A8" s="24" t="s">
        <v>160</v>
      </c>
      <c r="B8" s="74">
        <f t="shared" si="0"/>
        <v>1523</v>
      </c>
      <c r="C8" s="74">
        <v>1252</v>
      </c>
      <c r="D8" s="74">
        <v>271</v>
      </c>
      <c r="E8" s="75">
        <f>IFERROR(B8/B$5*100,"-")</f>
        <v>16.273106101079176</v>
      </c>
      <c r="F8" s="74">
        <f t="shared" si="1"/>
        <v>1401</v>
      </c>
      <c r="G8" s="74">
        <v>1147</v>
      </c>
      <c r="H8" s="74">
        <v>254</v>
      </c>
      <c r="I8" s="75">
        <f>IFERROR(F8/F$5*100,"-")</f>
        <v>16.351540616246499</v>
      </c>
      <c r="J8" s="74">
        <f t="shared" si="2"/>
        <v>1461</v>
      </c>
      <c r="K8" s="74">
        <v>1234</v>
      </c>
      <c r="L8" s="74">
        <v>227</v>
      </c>
      <c r="M8" s="75">
        <f>IFERROR(J8/J$5*100,"-")</f>
        <v>17.96606000983768</v>
      </c>
      <c r="N8" s="74">
        <f t="shared" si="3"/>
        <v>1647</v>
      </c>
      <c r="O8" s="74">
        <v>1376</v>
      </c>
      <c r="P8" s="74">
        <v>271</v>
      </c>
      <c r="Q8" s="75">
        <f>IFERROR(N8/N$5*100,"-")</f>
        <v>19.495738636363637</v>
      </c>
      <c r="R8" s="74">
        <f t="shared" si="4"/>
        <v>1375</v>
      </c>
      <c r="S8" s="74">
        <v>1146</v>
      </c>
      <c r="T8" s="74">
        <v>229</v>
      </c>
      <c r="U8" s="75">
        <f>IFERROR(R8/R$5*100,"-")</f>
        <v>17.308660624370596</v>
      </c>
    </row>
    <row r="9" spans="1:22" ht="20.100000000000001" customHeight="1">
      <c r="A9" s="24" t="s">
        <v>161</v>
      </c>
      <c r="B9" s="74">
        <f t="shared" si="0"/>
        <v>607</v>
      </c>
      <c r="C9" s="74">
        <v>551</v>
      </c>
      <c r="D9" s="74">
        <v>56</v>
      </c>
      <c r="E9" s="75">
        <f>IFERROR(B9/B$5*100,"-")</f>
        <v>6.4857356555187522</v>
      </c>
      <c r="F9" s="74">
        <f t="shared" si="1"/>
        <v>599</v>
      </c>
      <c r="G9" s="74">
        <v>526</v>
      </c>
      <c r="H9" s="74">
        <v>73</v>
      </c>
      <c r="I9" s="75">
        <f>IFERROR(F9/F$5*100,"-")</f>
        <v>6.9911297852474323</v>
      </c>
      <c r="J9" s="74">
        <f t="shared" si="2"/>
        <v>536</v>
      </c>
      <c r="K9" s="74">
        <v>463</v>
      </c>
      <c r="L9" s="74">
        <v>73</v>
      </c>
      <c r="M9" s="75">
        <f>IFERROR(J9/J$5*100,"-")</f>
        <v>6.5912444663059526</v>
      </c>
      <c r="N9" s="74">
        <f t="shared" si="3"/>
        <v>639</v>
      </c>
      <c r="O9" s="74">
        <v>540</v>
      </c>
      <c r="P9" s="74">
        <v>99</v>
      </c>
      <c r="Q9" s="75">
        <f>IFERROR(N9/N$5*100,"-")</f>
        <v>7.5639204545454541</v>
      </c>
      <c r="R9" s="74">
        <f t="shared" si="4"/>
        <v>618</v>
      </c>
      <c r="S9" s="74">
        <v>551</v>
      </c>
      <c r="T9" s="74">
        <v>67</v>
      </c>
      <c r="U9" s="75">
        <f>IFERROR(R9/R$5*100,"-")</f>
        <v>7.7794561933534752</v>
      </c>
    </row>
    <row r="10" spans="1:22" ht="20.100000000000001" customHeight="1" thickBot="1">
      <c r="A10" s="37" t="s">
        <v>162</v>
      </c>
      <c r="B10" s="87">
        <f t="shared" si="0"/>
        <v>575</v>
      </c>
      <c r="C10" s="87">
        <v>495</v>
      </c>
      <c r="D10" s="87">
        <v>80</v>
      </c>
      <c r="E10" s="88">
        <f>IFERROR(B10/B$5*100,"-")</f>
        <v>6.1438187840581255</v>
      </c>
      <c r="F10" s="87">
        <f t="shared" si="1"/>
        <v>519</v>
      </c>
      <c r="G10" s="87">
        <v>427</v>
      </c>
      <c r="H10" s="87">
        <v>92</v>
      </c>
      <c r="I10" s="88">
        <f>IFERROR(F10/F$5*100,"-")</f>
        <v>6.0574229691876749</v>
      </c>
      <c r="J10" s="87">
        <f t="shared" si="2"/>
        <v>457</v>
      </c>
      <c r="K10" s="87">
        <v>382</v>
      </c>
      <c r="L10" s="87">
        <v>75</v>
      </c>
      <c r="M10" s="88">
        <f>IFERROR(J10/J$5*100,"-")</f>
        <v>5.6197737333989179</v>
      </c>
      <c r="N10" s="87">
        <f t="shared" si="3"/>
        <v>385</v>
      </c>
      <c r="O10" s="87">
        <v>326</v>
      </c>
      <c r="P10" s="87">
        <v>59</v>
      </c>
      <c r="Q10" s="88">
        <f>IFERROR(N10/N$5*100,"-")</f>
        <v>4.5572916666666661</v>
      </c>
      <c r="R10" s="87">
        <f t="shared" si="4"/>
        <v>540</v>
      </c>
      <c r="S10" s="87">
        <v>460</v>
      </c>
      <c r="T10" s="87">
        <v>80</v>
      </c>
      <c r="U10" s="88">
        <f>IFERROR(R10/R$5*100,"-")</f>
        <v>6.7975830815709974</v>
      </c>
    </row>
    <row r="11" spans="1:22" ht="20.100000000000001" customHeight="1" thickTop="1">
      <c r="A11" s="483"/>
      <c r="B11" s="485" t="s">
        <v>42</v>
      </c>
      <c r="C11" s="486"/>
      <c r="D11" s="486"/>
      <c r="E11" s="486"/>
      <c r="F11" s="485" t="s">
        <v>163</v>
      </c>
      <c r="G11" s="486"/>
      <c r="H11" s="486"/>
      <c r="I11" s="486"/>
      <c r="J11" s="485" t="s">
        <v>77</v>
      </c>
      <c r="K11" s="486"/>
      <c r="L11" s="486"/>
      <c r="M11" s="486"/>
      <c r="N11" s="485" t="s">
        <v>539</v>
      </c>
      <c r="O11" s="486"/>
      <c r="P11" s="486"/>
      <c r="Q11" s="486"/>
      <c r="R11" s="485" t="s">
        <v>623</v>
      </c>
      <c r="S11" s="486"/>
      <c r="T11" s="486"/>
      <c r="U11" s="486"/>
    </row>
    <row r="12" spans="1:22" ht="20.100000000000001" customHeight="1">
      <c r="A12" s="483"/>
      <c r="B12" s="395" t="s">
        <v>156</v>
      </c>
      <c r="C12" s="395"/>
      <c r="D12" s="395"/>
      <c r="E12" s="391" t="s">
        <v>75</v>
      </c>
      <c r="F12" s="395" t="s">
        <v>156</v>
      </c>
      <c r="G12" s="480"/>
      <c r="H12" s="480"/>
      <c r="I12" s="391" t="s">
        <v>75</v>
      </c>
      <c r="J12" s="395" t="s">
        <v>156</v>
      </c>
      <c r="K12" s="480"/>
      <c r="L12" s="480"/>
      <c r="M12" s="391" t="s">
        <v>75</v>
      </c>
      <c r="N12" s="395" t="s">
        <v>156</v>
      </c>
      <c r="O12" s="395"/>
      <c r="P12" s="395"/>
      <c r="Q12" s="391" t="s">
        <v>75</v>
      </c>
      <c r="R12" s="395" t="s">
        <v>156</v>
      </c>
      <c r="S12" s="395"/>
      <c r="T12" s="395"/>
      <c r="U12" s="391" t="s">
        <v>75</v>
      </c>
    </row>
    <row r="13" spans="1:22" ht="20.100000000000001" customHeight="1">
      <c r="A13" s="483"/>
      <c r="B13" s="8" t="s">
        <v>48</v>
      </c>
      <c r="C13" s="86" t="s">
        <v>53</v>
      </c>
      <c r="D13" s="86" t="s">
        <v>54</v>
      </c>
      <c r="E13" s="463"/>
      <c r="F13" s="8" t="s">
        <v>48</v>
      </c>
      <c r="G13" s="86" t="s">
        <v>53</v>
      </c>
      <c r="H13" s="86" t="s">
        <v>54</v>
      </c>
      <c r="I13" s="463"/>
      <c r="J13" s="8" t="s">
        <v>48</v>
      </c>
      <c r="K13" s="86" t="s">
        <v>53</v>
      </c>
      <c r="L13" s="86" t="s">
        <v>54</v>
      </c>
      <c r="M13" s="463"/>
      <c r="N13" s="8" t="s">
        <v>48</v>
      </c>
      <c r="O13" s="86" t="s">
        <v>53</v>
      </c>
      <c r="P13" s="86" t="s">
        <v>54</v>
      </c>
      <c r="Q13" s="463"/>
      <c r="R13" s="8" t="s">
        <v>48</v>
      </c>
      <c r="S13" s="86" t="s">
        <v>53</v>
      </c>
      <c r="T13" s="86" t="s">
        <v>54</v>
      </c>
      <c r="U13" s="463"/>
    </row>
    <row r="14" spans="1:22" ht="20.100000000000001" customHeight="1">
      <c r="A14" s="24" t="s">
        <v>48</v>
      </c>
      <c r="B14" s="74">
        <f t="shared" ref="B14:B19" si="5">SUM(C14,D14)</f>
        <v>7829</v>
      </c>
      <c r="C14" s="74">
        <v>6803</v>
      </c>
      <c r="D14" s="74">
        <v>1026</v>
      </c>
      <c r="E14" s="75">
        <f>SUM(E15:E19)</f>
        <v>100</v>
      </c>
      <c r="F14" s="76">
        <f t="shared" ref="F14:F19" si="6">SUM(G14,H14)</f>
        <v>8765</v>
      </c>
      <c r="G14" s="76">
        <f>SUM(G15:G19)</f>
        <v>7611</v>
      </c>
      <c r="H14" s="76">
        <f>SUM(H15:H19)</f>
        <v>1154</v>
      </c>
      <c r="I14" s="75">
        <f>SUM(I15:I19)</f>
        <v>100.00000000000003</v>
      </c>
      <c r="J14" s="76">
        <f t="shared" ref="J14:J19" si="7">SUM(K14,L14)</f>
        <v>8121</v>
      </c>
      <c r="K14" s="76">
        <f>SUM(K15:K19)</f>
        <v>7031</v>
      </c>
      <c r="L14" s="76">
        <f>SUM(L15:L19)</f>
        <v>1090</v>
      </c>
      <c r="M14" s="75">
        <f>SUM(M15:M19)</f>
        <v>100.00000000000001</v>
      </c>
      <c r="N14" s="76">
        <f t="shared" ref="N14:N19" si="8">SUM(O14,P14)</f>
        <v>8987</v>
      </c>
      <c r="O14" s="76">
        <f>SUM(O15:O19)</f>
        <v>7780</v>
      </c>
      <c r="P14" s="76">
        <f>SUM(P15:P19)</f>
        <v>1207</v>
      </c>
      <c r="Q14" s="75">
        <f>SUM(Q15:Q19)</f>
        <v>100</v>
      </c>
      <c r="R14" s="74">
        <f>SUM(S14,T14)</f>
        <v>8951</v>
      </c>
      <c r="S14" s="76">
        <f>SUM(S15:S19)</f>
        <v>7726</v>
      </c>
      <c r="T14" s="76">
        <f>SUM(T15:T19)</f>
        <v>1225</v>
      </c>
      <c r="U14" s="75">
        <f>SUM(U15:U19)</f>
        <v>100</v>
      </c>
    </row>
    <row r="15" spans="1:22" ht="20.100000000000001" customHeight="1">
      <c r="A15" s="24" t="s">
        <v>158</v>
      </c>
      <c r="B15" s="74">
        <f t="shared" si="5"/>
        <v>3815</v>
      </c>
      <c r="C15" s="74">
        <v>3270</v>
      </c>
      <c r="D15" s="74">
        <v>545</v>
      </c>
      <c r="E15" s="75">
        <f>IFERROR(B15/B$14*100,"-")</f>
        <v>48.729084174224042</v>
      </c>
      <c r="F15" s="74">
        <f t="shared" si="6"/>
        <v>4463</v>
      </c>
      <c r="G15" s="74">
        <v>3837</v>
      </c>
      <c r="H15" s="74">
        <v>626</v>
      </c>
      <c r="I15" s="75">
        <f>IFERROR(F15/F$14*100,"-")</f>
        <v>50.918425556189398</v>
      </c>
      <c r="J15" s="74">
        <f t="shared" si="7"/>
        <v>4215</v>
      </c>
      <c r="K15" s="74">
        <v>3585</v>
      </c>
      <c r="L15" s="74">
        <v>630</v>
      </c>
      <c r="M15" s="75">
        <f>IFERROR(J15/J$14*100,"-")</f>
        <v>51.902475064647213</v>
      </c>
      <c r="N15" s="74">
        <f t="shared" si="8"/>
        <v>4641</v>
      </c>
      <c r="O15" s="74">
        <v>3907</v>
      </c>
      <c r="P15" s="74">
        <v>734</v>
      </c>
      <c r="Q15" s="75">
        <f>IFERROR(N15/N$14*100,"-")</f>
        <v>51.641259597195955</v>
      </c>
      <c r="R15" s="74">
        <f t="shared" ref="R15:R19" si="9">SUM(S15,T15)</f>
        <v>4948</v>
      </c>
      <c r="S15" s="74">
        <f>3504+645</f>
        <v>4149</v>
      </c>
      <c r="T15" s="74">
        <f>196+603</f>
        <v>799</v>
      </c>
      <c r="U15" s="75">
        <f>IFERROR(R15/R$14*100,"-")</f>
        <v>55.278739805608311</v>
      </c>
    </row>
    <row r="16" spans="1:22" ht="20.100000000000001" customHeight="1">
      <c r="A16" s="24" t="s">
        <v>159</v>
      </c>
      <c r="B16" s="74">
        <f t="shared" si="5"/>
        <v>1528</v>
      </c>
      <c r="C16" s="74">
        <v>1386</v>
      </c>
      <c r="D16" s="74">
        <v>142</v>
      </c>
      <c r="E16" s="75">
        <f>IFERROR(B16/B$14*100,"-")</f>
        <v>19.517179716438882</v>
      </c>
      <c r="F16" s="74">
        <f t="shared" si="6"/>
        <v>1690</v>
      </c>
      <c r="G16" s="74">
        <v>1534</v>
      </c>
      <c r="H16" s="74">
        <v>156</v>
      </c>
      <c r="I16" s="75">
        <f>IFERROR(F16/F$14*100,"-")</f>
        <v>19.281232173416999</v>
      </c>
      <c r="J16" s="74">
        <f t="shared" si="7"/>
        <v>1562</v>
      </c>
      <c r="K16" s="74">
        <v>1445</v>
      </c>
      <c r="L16" s="74">
        <v>117</v>
      </c>
      <c r="M16" s="75">
        <f>IFERROR(J16/J$14*100,"-")</f>
        <v>19.234084472355622</v>
      </c>
      <c r="N16" s="74">
        <f t="shared" si="8"/>
        <v>1802</v>
      </c>
      <c r="O16" s="74">
        <v>1654</v>
      </c>
      <c r="P16" s="74">
        <v>148</v>
      </c>
      <c r="Q16" s="75">
        <f>IFERROR(N16/N$14*100,"-")</f>
        <v>20.051185045065097</v>
      </c>
      <c r="R16" s="74">
        <f t="shared" si="9"/>
        <v>1563</v>
      </c>
      <c r="S16" s="74">
        <f>1304+111</f>
        <v>1415</v>
      </c>
      <c r="T16" s="74">
        <f>17+131</f>
        <v>148</v>
      </c>
      <c r="U16" s="75">
        <f t="shared" ref="U16:U19" si="10">IFERROR(R16/R$14*100,"-")</f>
        <v>17.4617361188694</v>
      </c>
    </row>
    <row r="17" spans="1:21" ht="20.100000000000001" customHeight="1">
      <c r="A17" s="24" t="s">
        <v>160</v>
      </c>
      <c r="B17" s="74">
        <f t="shared" si="5"/>
        <v>1362</v>
      </c>
      <c r="C17" s="74">
        <v>1180</v>
      </c>
      <c r="D17" s="74">
        <v>182</v>
      </c>
      <c r="E17" s="75">
        <f>IFERROR(B17/B$14*100,"-")</f>
        <v>17.39685783624984</v>
      </c>
      <c r="F17" s="74">
        <f t="shared" si="6"/>
        <v>1697</v>
      </c>
      <c r="G17" s="74">
        <v>1446</v>
      </c>
      <c r="H17" s="74">
        <v>251</v>
      </c>
      <c r="I17" s="75">
        <f>IFERROR(F17/F$14*100,"-")</f>
        <v>19.361095265259557</v>
      </c>
      <c r="J17" s="74">
        <f t="shared" si="7"/>
        <v>1440</v>
      </c>
      <c r="K17" s="74">
        <v>1221</v>
      </c>
      <c r="L17" s="74">
        <v>219</v>
      </c>
      <c r="M17" s="75">
        <f>IFERROR(J17/J$14*100,"-")</f>
        <v>17.73180642777983</v>
      </c>
      <c r="N17" s="74">
        <f t="shared" si="8"/>
        <v>1391</v>
      </c>
      <c r="O17" s="74">
        <v>1206</v>
      </c>
      <c r="P17" s="74">
        <v>185</v>
      </c>
      <c r="Q17" s="75">
        <f>IFERROR(N17/N$14*100,"-")</f>
        <v>15.477912540336042</v>
      </c>
      <c r="R17" s="74">
        <f t="shared" si="9"/>
        <v>1455</v>
      </c>
      <c r="S17" s="74">
        <f>1195+101</f>
        <v>1296</v>
      </c>
      <c r="T17" s="74">
        <f>22+137</f>
        <v>159</v>
      </c>
      <c r="U17" s="75">
        <f t="shared" si="10"/>
        <v>16.255167020444645</v>
      </c>
    </row>
    <row r="18" spans="1:21" ht="20.100000000000001" customHeight="1">
      <c r="A18" s="24" t="s">
        <v>161</v>
      </c>
      <c r="B18" s="74">
        <f t="shared" si="5"/>
        <v>652</v>
      </c>
      <c r="C18" s="74">
        <v>560</v>
      </c>
      <c r="D18" s="74">
        <v>92</v>
      </c>
      <c r="E18" s="75">
        <f>IFERROR(B18/B$14*100,"-")</f>
        <v>8.3280112402605706</v>
      </c>
      <c r="F18" s="74">
        <f t="shared" si="6"/>
        <v>555</v>
      </c>
      <c r="G18" s="74">
        <v>488</v>
      </c>
      <c r="H18" s="74">
        <v>67</v>
      </c>
      <c r="I18" s="75">
        <f>IFERROR(F18/F$14*100,"-")</f>
        <v>6.3320022818026249</v>
      </c>
      <c r="J18" s="74">
        <f t="shared" si="7"/>
        <v>590</v>
      </c>
      <c r="K18" s="74">
        <v>516</v>
      </c>
      <c r="L18" s="74">
        <v>74</v>
      </c>
      <c r="M18" s="75">
        <f>IFERROR(J18/J$14*100,"-")</f>
        <v>7.2651151336042359</v>
      </c>
      <c r="N18" s="74">
        <f t="shared" si="8"/>
        <v>719</v>
      </c>
      <c r="O18" s="74">
        <v>637</v>
      </c>
      <c r="P18" s="74">
        <v>82</v>
      </c>
      <c r="Q18" s="75">
        <f>IFERROR(N18/N$14*100,"-")</f>
        <v>8.0004450873483908</v>
      </c>
      <c r="R18" s="74">
        <f t="shared" si="9"/>
        <v>645</v>
      </c>
      <c r="S18" s="74">
        <f>509+58</f>
        <v>567</v>
      </c>
      <c r="T18" s="74">
        <f>65+13</f>
        <v>78</v>
      </c>
      <c r="U18" s="75">
        <f t="shared" si="10"/>
        <v>7.2058987822589655</v>
      </c>
    </row>
    <row r="19" spans="1:21" ht="20.100000000000001" customHeight="1">
      <c r="A19" s="35" t="s">
        <v>162</v>
      </c>
      <c r="B19" s="77">
        <f t="shared" si="5"/>
        <v>472</v>
      </c>
      <c r="C19" s="77">
        <v>407</v>
      </c>
      <c r="D19" s="77">
        <v>65</v>
      </c>
      <c r="E19" s="78">
        <f>IFERROR(B19/B$14*100,"-")</f>
        <v>6.0288670328266702</v>
      </c>
      <c r="F19" s="77">
        <f t="shared" si="6"/>
        <v>360</v>
      </c>
      <c r="G19" s="77">
        <v>306</v>
      </c>
      <c r="H19" s="77">
        <v>54</v>
      </c>
      <c r="I19" s="78">
        <f>IFERROR(F19/F$14*100,"-")</f>
        <v>4.1072447233314318</v>
      </c>
      <c r="J19" s="77">
        <f t="shared" si="7"/>
        <v>314</v>
      </c>
      <c r="K19" s="77">
        <v>264</v>
      </c>
      <c r="L19" s="77">
        <v>50</v>
      </c>
      <c r="M19" s="78">
        <f>IFERROR(J19/J$14*100,"-")</f>
        <v>3.8665189016131016</v>
      </c>
      <c r="N19" s="77">
        <f t="shared" si="8"/>
        <v>434</v>
      </c>
      <c r="O19" s="77">
        <v>376</v>
      </c>
      <c r="P19" s="77">
        <v>58</v>
      </c>
      <c r="Q19" s="78">
        <f>IFERROR(N19/N$14*100,"-")</f>
        <v>4.8291977300545232</v>
      </c>
      <c r="R19" s="77">
        <f t="shared" si="9"/>
        <v>340</v>
      </c>
      <c r="S19" s="77">
        <f>269+30</f>
        <v>299</v>
      </c>
      <c r="T19" s="77">
        <f>34+7</f>
        <v>41</v>
      </c>
      <c r="U19" s="78">
        <f t="shared" si="10"/>
        <v>3.7984582728186793</v>
      </c>
    </row>
    <row r="20" spans="1:21">
      <c r="A20" s="397" t="s">
        <v>164</v>
      </c>
      <c r="B20" s="397"/>
      <c r="C20" s="397"/>
      <c r="D20" s="397"/>
      <c r="E20" s="11"/>
      <c r="F20" s="11"/>
      <c r="G20" s="11"/>
      <c r="H20" s="11"/>
      <c r="I20" s="11"/>
      <c r="J20" s="11"/>
      <c r="K20" s="11"/>
      <c r="L20" s="11"/>
      <c r="M20" s="11"/>
      <c r="N20" s="11"/>
      <c r="O20" s="11"/>
      <c r="P20" s="11"/>
      <c r="Q20" s="11"/>
      <c r="R20" s="11"/>
      <c r="S20" s="11"/>
      <c r="T20" s="11"/>
      <c r="U20" s="11"/>
    </row>
    <row r="21" spans="1:21">
      <c r="A21" s="470" t="s">
        <v>535</v>
      </c>
      <c r="B21" s="484"/>
      <c r="C21" s="484"/>
      <c r="D21" s="484"/>
      <c r="E21" s="484"/>
      <c r="F21" s="484"/>
      <c r="G21" s="484"/>
      <c r="H21" s="484"/>
      <c r="I21" s="484"/>
      <c r="J21" s="484"/>
      <c r="K21" s="484"/>
      <c r="L21" s="484"/>
      <c r="M21" s="484"/>
      <c r="N21" s="484"/>
      <c r="O21" s="484"/>
      <c r="P21" s="484"/>
      <c r="Q21" s="484"/>
      <c r="R21" s="484"/>
      <c r="S21" s="484"/>
      <c r="T21" s="484"/>
      <c r="U21" s="484"/>
    </row>
    <row r="22" spans="1:21">
      <c r="D22" s="225"/>
      <c r="E22" s="225"/>
      <c r="F22" s="225"/>
      <c r="G22" s="225"/>
      <c r="H22" s="225"/>
      <c r="I22" s="225"/>
      <c r="J22" s="225"/>
      <c r="K22" s="225"/>
      <c r="L22" s="225"/>
      <c r="M22" s="225"/>
      <c r="N22" s="225"/>
      <c r="O22" s="225"/>
      <c r="P22" s="225"/>
      <c r="Q22" s="225"/>
      <c r="R22" s="225"/>
      <c r="S22" s="225"/>
      <c r="T22" s="225"/>
      <c r="U22" s="225"/>
    </row>
    <row r="23" spans="1:21">
      <c r="D23" s="225"/>
      <c r="E23" s="225"/>
      <c r="F23" s="225"/>
      <c r="G23" s="225"/>
      <c r="H23" s="225"/>
      <c r="I23" s="225"/>
      <c r="J23" s="225"/>
      <c r="K23" s="225"/>
      <c r="L23" s="225"/>
      <c r="M23" s="225"/>
      <c r="N23" s="225"/>
      <c r="O23" s="225"/>
      <c r="P23" s="225"/>
      <c r="Q23" s="225"/>
      <c r="R23" s="225"/>
      <c r="S23" s="225"/>
      <c r="T23" s="225"/>
      <c r="U23" s="225"/>
    </row>
    <row r="24" spans="1:21">
      <c r="D24" s="225"/>
      <c r="E24" s="225"/>
      <c r="F24" s="225"/>
      <c r="G24" s="225"/>
      <c r="H24" s="225"/>
      <c r="I24" s="225"/>
      <c r="J24" s="225"/>
      <c r="K24" s="225"/>
      <c r="L24" s="225"/>
      <c r="M24" s="225"/>
      <c r="N24" s="225"/>
      <c r="O24" s="225"/>
      <c r="P24" s="225"/>
      <c r="Q24" s="225"/>
      <c r="R24" s="225"/>
      <c r="S24" s="225"/>
      <c r="T24" s="225"/>
      <c r="U24" s="225"/>
    </row>
    <row r="25" spans="1:21">
      <c r="D25" s="225"/>
      <c r="E25" s="225"/>
      <c r="F25" s="225"/>
      <c r="G25" s="225"/>
      <c r="H25" s="225"/>
      <c r="I25" s="225"/>
      <c r="J25" s="225"/>
      <c r="K25" s="225"/>
      <c r="L25" s="225"/>
      <c r="M25" s="225"/>
      <c r="N25" s="225"/>
      <c r="O25" s="225"/>
      <c r="P25" s="225"/>
      <c r="Q25" s="225"/>
      <c r="R25" s="225"/>
      <c r="S25" s="225"/>
      <c r="T25" s="225"/>
      <c r="U25" s="225"/>
    </row>
    <row r="26" spans="1:21">
      <c r="D26" s="225"/>
      <c r="E26" s="225"/>
      <c r="F26" s="225"/>
      <c r="G26" s="225"/>
      <c r="H26" s="225"/>
      <c r="I26" s="225"/>
      <c r="J26" s="225"/>
      <c r="K26" s="225"/>
      <c r="L26" s="225"/>
      <c r="M26" s="225"/>
      <c r="N26" s="225"/>
      <c r="O26" s="225"/>
      <c r="P26" s="225"/>
      <c r="Q26" s="225"/>
      <c r="R26" s="225"/>
      <c r="S26" s="225"/>
      <c r="T26" s="225"/>
      <c r="U26" s="225"/>
    </row>
    <row r="27" spans="1:21">
      <c r="D27" s="225"/>
      <c r="H27" s="225"/>
      <c r="L27" s="225"/>
      <c r="P27" s="225"/>
      <c r="T27" s="225"/>
    </row>
  </sheetData>
  <mergeCells count="35">
    <mergeCell ref="A20:D20"/>
    <mergeCell ref="B11:E11"/>
    <mergeCell ref="R2:U2"/>
    <mergeCell ref="J3:L3"/>
    <mergeCell ref="M3:M4"/>
    <mergeCell ref="F3:H3"/>
    <mergeCell ref="I3:I4"/>
    <mergeCell ref="A21:U21"/>
    <mergeCell ref="E12:E13"/>
    <mergeCell ref="F12:H12"/>
    <mergeCell ref="I12:I13"/>
    <mergeCell ref="J12:L12"/>
    <mergeCell ref="M12:M13"/>
    <mergeCell ref="N12:P12"/>
    <mergeCell ref="A11:A13"/>
    <mergeCell ref="N11:Q11"/>
    <mergeCell ref="B12:D12"/>
    <mergeCell ref="Q12:Q13"/>
    <mergeCell ref="F11:I11"/>
    <mergeCell ref="R11:U11"/>
    <mergeCell ref="R12:T12"/>
    <mergeCell ref="U12:U13"/>
    <mergeCell ref="J11:M11"/>
    <mergeCell ref="A1:U1"/>
    <mergeCell ref="A2:A4"/>
    <mergeCell ref="B2:E2"/>
    <mergeCell ref="F2:I2"/>
    <mergeCell ref="J2:M2"/>
    <mergeCell ref="N2:Q2"/>
    <mergeCell ref="B3:D3"/>
    <mergeCell ref="Q3:Q4"/>
    <mergeCell ref="N3:P3"/>
    <mergeCell ref="E3:E4"/>
    <mergeCell ref="R3:T3"/>
    <mergeCell ref="U3:U4"/>
  </mergeCells>
  <phoneticPr fontId="3" type="noConversion"/>
  <hyperlinks>
    <hyperlink ref="V1" location="本篇表次!A1" display="回本篇表次"/>
  </hyperlinks>
  <printOptions horizontalCentered="1" verticalCentered="1"/>
  <pageMargins left="0.70866141732283472" right="0.70866141732283472" top="0.74803149606299213" bottom="0.74803149606299213" header="0.31496062992125984" footer="0.31496062992125984"/>
  <pageSetup paperSize="224" scale="5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23"/>
  <sheetViews>
    <sheetView showGridLines="0" zoomScale="120" zoomScaleNormal="120" workbookViewId="0">
      <pane xSplit="1" topLeftCell="B1" activePane="topRight" state="frozen"/>
      <selection activeCell="G17" sqref="G17"/>
      <selection pane="topRight" sqref="A1:K1"/>
    </sheetView>
  </sheetViews>
  <sheetFormatPr defaultColWidth="11" defaultRowHeight="16.5"/>
  <cols>
    <col min="1" max="1" width="18.125" customWidth="1"/>
    <col min="2" max="11" width="9" customWidth="1"/>
    <col min="12" max="12" width="12.625" bestFit="1" customWidth="1"/>
  </cols>
  <sheetData>
    <row r="1" spans="1:12" ht="21.95" customHeight="1">
      <c r="A1" s="389" t="s">
        <v>551</v>
      </c>
      <c r="B1" s="389"/>
      <c r="C1" s="389"/>
      <c r="D1" s="389"/>
      <c r="E1" s="389"/>
      <c r="F1" s="389"/>
      <c r="G1" s="389"/>
      <c r="H1" s="389"/>
      <c r="I1" s="389"/>
      <c r="J1" s="389"/>
      <c r="K1" s="389"/>
      <c r="L1" s="242" t="s">
        <v>548</v>
      </c>
    </row>
    <row r="2" spans="1:12" ht="20.100000000000001" customHeight="1">
      <c r="A2" s="16"/>
      <c r="B2" s="395" t="s">
        <v>37</v>
      </c>
      <c r="C2" s="395"/>
      <c r="D2" s="395" t="s">
        <v>38</v>
      </c>
      <c r="E2" s="395"/>
      <c r="F2" s="395" t="s">
        <v>39</v>
      </c>
      <c r="G2" s="395"/>
      <c r="H2" s="395" t="s">
        <v>40</v>
      </c>
      <c r="I2" s="395"/>
      <c r="J2" s="395" t="s">
        <v>41</v>
      </c>
      <c r="K2" s="395"/>
    </row>
    <row r="3" spans="1:12" ht="20.100000000000001" customHeight="1">
      <c r="A3" s="4"/>
      <c r="B3" s="8" t="s">
        <v>76</v>
      </c>
      <c r="C3" s="8" t="s">
        <v>60</v>
      </c>
      <c r="D3" s="8" t="s">
        <v>76</v>
      </c>
      <c r="E3" s="8" t="s">
        <v>60</v>
      </c>
      <c r="F3" s="8" t="s">
        <v>76</v>
      </c>
      <c r="G3" s="8" t="s">
        <v>60</v>
      </c>
      <c r="H3" s="8" t="s">
        <v>76</v>
      </c>
      <c r="I3" s="8" t="s">
        <v>60</v>
      </c>
      <c r="J3" s="8" t="s">
        <v>76</v>
      </c>
      <c r="K3" s="8" t="s">
        <v>60</v>
      </c>
    </row>
    <row r="4" spans="1:12" ht="20.100000000000001" customHeight="1">
      <c r="A4" s="56" t="s">
        <v>48</v>
      </c>
      <c r="B4" s="18">
        <f>B5+B6</f>
        <v>9248</v>
      </c>
      <c r="C4" s="111">
        <f>SUM(C7:C11)</f>
        <v>100</v>
      </c>
      <c r="D4" s="18">
        <f t="shared" ref="D4:G4" si="0">SUM(D7:D11)</f>
        <v>8423</v>
      </c>
      <c r="E4" s="111">
        <f t="shared" si="0"/>
        <v>100</v>
      </c>
      <c r="F4" s="18">
        <f t="shared" si="0"/>
        <v>8046</v>
      </c>
      <c r="G4" s="111">
        <f t="shared" si="0"/>
        <v>100</v>
      </c>
      <c r="H4" s="18">
        <f>SUM(H7:H11)</f>
        <v>8329</v>
      </c>
      <c r="I4" s="111">
        <f>SUM(I7:I11)</f>
        <v>100</v>
      </c>
      <c r="J4" s="18">
        <f>SUM(J7:J11)</f>
        <v>7836</v>
      </c>
      <c r="K4" s="111">
        <f>SUM(K7:K11)</f>
        <v>99.999999999999986</v>
      </c>
    </row>
    <row r="5" spans="1:12">
      <c r="A5" s="57" t="s">
        <v>213</v>
      </c>
      <c r="B5" s="18">
        <v>8050</v>
      </c>
      <c r="C5" s="112">
        <f>IFERROR(B5/B$4*100,"-")</f>
        <v>87.04584775086505</v>
      </c>
      <c r="D5" s="18">
        <v>7287</v>
      </c>
      <c r="E5" s="112">
        <f>IFERROR(D5/D$4*100,"-")</f>
        <v>86.513118841267953</v>
      </c>
      <c r="F5" s="18">
        <v>6972</v>
      </c>
      <c r="G5" s="112">
        <f>IFERROR(F5/F$4*100,"-")</f>
        <v>86.651752423564503</v>
      </c>
      <c r="H5" s="18">
        <v>7251</v>
      </c>
      <c r="I5" s="112">
        <f>IFERROR(H5/H$4*100,"-")</f>
        <v>87.05726978028575</v>
      </c>
      <c r="J5" s="18">
        <v>6810</v>
      </c>
      <c r="K5" s="112">
        <f t="shared" ref="K5:K11" si="1">IFERROR(J5/J$4*100,"-")</f>
        <v>86.906584992343028</v>
      </c>
    </row>
    <row r="6" spans="1:12">
      <c r="A6" s="59" t="s">
        <v>214</v>
      </c>
      <c r="B6" s="22">
        <v>1198</v>
      </c>
      <c r="C6" s="113">
        <f t="shared" ref="C6:C11" si="2">IFERROR(B6/B$4*100,"-")</f>
        <v>12.954152249134948</v>
      </c>
      <c r="D6" s="22">
        <v>1136</v>
      </c>
      <c r="E6" s="113">
        <f t="shared" ref="E6:E11" si="3">IFERROR(D6/D$4*100,"-")</f>
        <v>13.486881158732041</v>
      </c>
      <c r="F6" s="22">
        <v>1074</v>
      </c>
      <c r="G6" s="113">
        <f t="shared" ref="G6:G11" si="4">IFERROR(F6/F$4*100,"-")</f>
        <v>13.348247576435496</v>
      </c>
      <c r="H6" s="22">
        <v>1078</v>
      </c>
      <c r="I6" s="113">
        <f t="shared" ref="I6:I11" si="5">IFERROR(H6/H$4*100,"-")</f>
        <v>12.942730219714251</v>
      </c>
      <c r="J6" s="22">
        <v>1026</v>
      </c>
      <c r="K6" s="113">
        <f t="shared" si="1"/>
        <v>13.093415007656967</v>
      </c>
    </row>
    <row r="7" spans="1:12" ht="20.100000000000001" customHeight="1">
      <c r="A7" s="24" t="s">
        <v>304</v>
      </c>
      <c r="B7" s="18">
        <v>4993</v>
      </c>
      <c r="C7" s="112">
        <f t="shared" si="2"/>
        <v>53.990051903114193</v>
      </c>
      <c r="D7" s="18">
        <v>4657</v>
      </c>
      <c r="E7" s="112">
        <f t="shared" si="3"/>
        <v>55.289089398076698</v>
      </c>
      <c r="F7" s="18">
        <v>4494</v>
      </c>
      <c r="G7" s="112">
        <f t="shared" si="4"/>
        <v>55.853840417598811</v>
      </c>
      <c r="H7" s="18">
        <v>4644</v>
      </c>
      <c r="I7" s="112">
        <f t="shared" si="5"/>
        <v>55.756993636691078</v>
      </c>
      <c r="J7" s="18">
        <v>4478</v>
      </c>
      <c r="K7" s="112">
        <f t="shared" si="1"/>
        <v>57.146503318019391</v>
      </c>
    </row>
    <row r="8" spans="1:12" ht="20.100000000000001" customHeight="1">
      <c r="A8" s="24" t="s">
        <v>305</v>
      </c>
      <c r="B8" s="18">
        <v>3044</v>
      </c>
      <c r="C8" s="112">
        <f t="shared" si="2"/>
        <v>32.915224913494811</v>
      </c>
      <c r="D8" s="18">
        <v>2635</v>
      </c>
      <c r="E8" s="112">
        <f t="shared" si="3"/>
        <v>31.283390715896946</v>
      </c>
      <c r="F8" s="18">
        <v>2470</v>
      </c>
      <c r="G8" s="112">
        <f t="shared" si="4"/>
        <v>30.698483718617947</v>
      </c>
      <c r="H8" s="18">
        <v>2536</v>
      </c>
      <c r="I8" s="112">
        <f t="shared" si="5"/>
        <v>30.447832873094011</v>
      </c>
      <c r="J8" s="18">
        <v>2321</v>
      </c>
      <c r="K8" s="112">
        <f t="shared" si="1"/>
        <v>29.619703930576826</v>
      </c>
    </row>
    <row r="9" spans="1:12" ht="20.100000000000001" customHeight="1">
      <c r="A9" s="24" t="s">
        <v>306</v>
      </c>
      <c r="B9" s="18">
        <v>1090</v>
      </c>
      <c r="C9" s="112">
        <f t="shared" si="2"/>
        <v>11.786332179930795</v>
      </c>
      <c r="D9" s="18">
        <v>997</v>
      </c>
      <c r="E9" s="112">
        <f t="shared" si="3"/>
        <v>11.83663777751395</v>
      </c>
      <c r="F9" s="18">
        <v>962</v>
      </c>
      <c r="G9" s="112">
        <f t="shared" si="4"/>
        <v>11.95625155356699</v>
      </c>
      <c r="H9" s="18">
        <v>1020</v>
      </c>
      <c r="I9" s="112">
        <f t="shared" si="5"/>
        <v>12.246368111417938</v>
      </c>
      <c r="J9" s="18">
        <v>869</v>
      </c>
      <c r="K9" s="112">
        <f t="shared" si="1"/>
        <v>11.089841755997957</v>
      </c>
    </row>
    <row r="10" spans="1:12" ht="20.100000000000001" customHeight="1">
      <c r="A10" s="24" t="s">
        <v>307</v>
      </c>
      <c r="B10" s="18">
        <v>121</v>
      </c>
      <c r="C10" s="112">
        <f t="shared" si="2"/>
        <v>1.3083910034602075</v>
      </c>
      <c r="D10" s="18">
        <v>134</v>
      </c>
      <c r="E10" s="112">
        <f t="shared" si="3"/>
        <v>1.5908821085124063</v>
      </c>
      <c r="F10" s="18">
        <v>120</v>
      </c>
      <c r="G10" s="112">
        <f t="shared" si="4"/>
        <v>1.4914243102162565</v>
      </c>
      <c r="H10" s="18">
        <v>129</v>
      </c>
      <c r="I10" s="112">
        <f t="shared" si="5"/>
        <v>1.5488053787969744</v>
      </c>
      <c r="J10" s="18">
        <v>156</v>
      </c>
      <c r="K10" s="112">
        <f t="shared" si="1"/>
        <v>1.9908116385911179</v>
      </c>
    </row>
    <row r="11" spans="1:12" ht="20.100000000000001" customHeight="1" thickBot="1">
      <c r="A11" s="37" t="s">
        <v>308</v>
      </c>
      <c r="B11" s="25" t="s">
        <v>9</v>
      </c>
      <c r="C11" s="114" t="str">
        <f t="shared" si="2"/>
        <v>-</v>
      </c>
      <c r="D11" s="25" t="s">
        <v>9</v>
      </c>
      <c r="E11" s="114" t="str">
        <f t="shared" si="3"/>
        <v>-</v>
      </c>
      <c r="F11" s="25" t="s">
        <v>9</v>
      </c>
      <c r="G11" s="114" t="str">
        <f t="shared" si="4"/>
        <v>-</v>
      </c>
      <c r="H11" s="25" t="s">
        <v>9</v>
      </c>
      <c r="I11" s="114" t="str">
        <f t="shared" si="5"/>
        <v>-</v>
      </c>
      <c r="J11" s="25">
        <v>12</v>
      </c>
      <c r="K11" s="114">
        <f t="shared" si="1"/>
        <v>0.15313935681470139</v>
      </c>
    </row>
    <row r="12" spans="1:12" ht="20.100000000000001" customHeight="1">
      <c r="A12" s="4"/>
      <c r="B12" s="474" t="s">
        <v>309</v>
      </c>
      <c r="C12" s="474"/>
      <c r="D12" s="473" t="s">
        <v>43</v>
      </c>
      <c r="E12" s="487"/>
      <c r="F12" s="474" t="s">
        <v>77</v>
      </c>
      <c r="G12" s="474"/>
      <c r="H12" s="474" t="s">
        <v>539</v>
      </c>
      <c r="I12" s="474"/>
      <c r="J12" s="474" t="s">
        <v>623</v>
      </c>
      <c r="K12" s="474"/>
    </row>
    <row r="13" spans="1:12" ht="20.100000000000001" customHeight="1">
      <c r="A13" s="4"/>
      <c r="B13" s="8" t="s">
        <v>76</v>
      </c>
      <c r="C13" s="8" t="s">
        <v>60</v>
      </c>
      <c r="D13" s="8" t="s">
        <v>76</v>
      </c>
      <c r="E13" s="8" t="s">
        <v>60</v>
      </c>
      <c r="F13" s="8" t="s">
        <v>76</v>
      </c>
      <c r="G13" s="8" t="s">
        <v>60</v>
      </c>
      <c r="H13" s="8" t="s">
        <v>76</v>
      </c>
      <c r="I13" s="8" t="s">
        <v>60</v>
      </c>
      <c r="J13" s="8" t="s">
        <v>76</v>
      </c>
      <c r="K13" s="8" t="s">
        <v>60</v>
      </c>
    </row>
    <row r="14" spans="1:12" ht="20.100000000000001" customHeight="1">
      <c r="A14" s="56" t="s">
        <v>48</v>
      </c>
      <c r="B14" s="18">
        <f t="shared" ref="B14:K14" si="6">SUM(B17:B21)</f>
        <v>7714</v>
      </c>
      <c r="C14" s="111">
        <f t="shared" si="6"/>
        <v>99.999999999999986</v>
      </c>
      <c r="D14" s="18">
        <f t="shared" si="6"/>
        <v>8657</v>
      </c>
      <c r="E14" s="111">
        <f t="shared" si="6"/>
        <v>99.999999999999986</v>
      </c>
      <c r="F14" s="18">
        <f t="shared" si="6"/>
        <v>8017</v>
      </c>
      <c r="G14" s="111">
        <f t="shared" si="6"/>
        <v>99.999999999999986</v>
      </c>
      <c r="H14" s="18">
        <f t="shared" si="6"/>
        <v>8877</v>
      </c>
      <c r="I14" s="111">
        <f t="shared" si="6"/>
        <v>100.00000000000001</v>
      </c>
      <c r="J14" s="18">
        <f>SUM(J15:J16)</f>
        <v>8832</v>
      </c>
      <c r="K14" s="111">
        <f t="shared" si="6"/>
        <v>100</v>
      </c>
    </row>
    <row r="15" spans="1:12">
      <c r="A15" s="57" t="s">
        <v>213</v>
      </c>
      <c r="B15" s="18">
        <v>6709</v>
      </c>
      <c r="C15" s="112">
        <f t="shared" ref="C15:C21" si="7">IFERROR(B15/B$14*100,"-")</f>
        <v>86.971739694062748</v>
      </c>
      <c r="D15" s="18">
        <v>7524</v>
      </c>
      <c r="E15" s="112">
        <f t="shared" ref="E15:E21" si="8">IFERROR(D15/D$14*100,"-")</f>
        <v>86.912325285895804</v>
      </c>
      <c r="F15" s="18">
        <v>6949</v>
      </c>
      <c r="G15" s="112">
        <f t="shared" ref="G15:G21" si="9">IFERROR(F15/F$14*100,"-")</f>
        <v>86.678308594237237</v>
      </c>
      <c r="H15" s="18">
        <v>7699</v>
      </c>
      <c r="I15" s="112">
        <f t="shared" ref="I15:I21" si="10">IFERROR(H15/H$14*100,"-")</f>
        <v>86.729751042018705</v>
      </c>
      <c r="J15" s="18">
        <f>6689+941</f>
        <v>7630</v>
      </c>
      <c r="K15" s="112">
        <f>IFERROR(J15/J$14*100,"-")</f>
        <v>86.39039855072464</v>
      </c>
    </row>
    <row r="16" spans="1:12">
      <c r="A16" s="59" t="s">
        <v>214</v>
      </c>
      <c r="B16" s="22">
        <v>1005</v>
      </c>
      <c r="C16" s="113">
        <f t="shared" si="7"/>
        <v>13.028260305937255</v>
      </c>
      <c r="D16" s="22">
        <v>1133</v>
      </c>
      <c r="E16" s="113">
        <f t="shared" si="8"/>
        <v>13.087674714104194</v>
      </c>
      <c r="F16" s="22">
        <v>1068</v>
      </c>
      <c r="G16" s="113">
        <f t="shared" si="9"/>
        <v>13.321691405762753</v>
      </c>
      <c r="H16" s="22">
        <v>1178</v>
      </c>
      <c r="I16" s="113">
        <f t="shared" si="10"/>
        <v>13.270248957981302</v>
      </c>
      <c r="J16" s="22">
        <f>255+947</f>
        <v>1202</v>
      </c>
      <c r="K16" s="113">
        <f>IFERROR(J16/J$14*100,"-")</f>
        <v>13.609601449275363</v>
      </c>
    </row>
    <row r="17" spans="1:11" ht="20.100000000000001" customHeight="1">
      <c r="A17" s="24" t="s">
        <v>304</v>
      </c>
      <c r="B17" s="18">
        <v>4355</v>
      </c>
      <c r="C17" s="112">
        <f t="shared" si="7"/>
        <v>56.455794659061439</v>
      </c>
      <c r="D17" s="18">
        <v>4954</v>
      </c>
      <c r="E17" s="112">
        <f t="shared" si="8"/>
        <v>57.225366755226979</v>
      </c>
      <c r="F17" s="18">
        <v>4452</v>
      </c>
      <c r="G17" s="112">
        <f t="shared" si="9"/>
        <v>55.531994511662717</v>
      </c>
      <c r="H17" s="18">
        <v>4731</v>
      </c>
      <c r="I17" s="112">
        <f t="shared" si="10"/>
        <v>53.295032105441031</v>
      </c>
      <c r="J17" s="18">
        <f>3551+535+450+120</f>
        <v>4656</v>
      </c>
      <c r="K17" s="112">
        <f>IFERROR(J17/J$14*100,"-")</f>
        <v>52.717391304347828</v>
      </c>
    </row>
    <row r="18" spans="1:11" ht="20.100000000000001" customHeight="1">
      <c r="A18" s="24" t="s">
        <v>305</v>
      </c>
      <c r="B18" s="18">
        <v>2306</v>
      </c>
      <c r="C18" s="112">
        <f t="shared" si="7"/>
        <v>29.89369976665802</v>
      </c>
      <c r="D18" s="18">
        <v>2512</v>
      </c>
      <c r="E18" s="112">
        <f t="shared" si="8"/>
        <v>29.016980478225712</v>
      </c>
      <c r="F18" s="18">
        <v>2413</v>
      </c>
      <c r="G18" s="112">
        <f t="shared" si="9"/>
        <v>30.0985406012224</v>
      </c>
      <c r="H18" s="18">
        <v>2901</v>
      </c>
      <c r="I18" s="112">
        <f t="shared" si="10"/>
        <v>32.679959445758705</v>
      </c>
      <c r="J18" s="18">
        <f>2234+282+367+94</f>
        <v>2977</v>
      </c>
      <c r="K18" s="112">
        <f t="shared" ref="K18:K21" si="11">IFERROR(J18/J$14*100,"-")</f>
        <v>33.706974637681157</v>
      </c>
    </row>
    <row r="19" spans="1:11" ht="20.100000000000001" customHeight="1">
      <c r="A19" s="24" t="s">
        <v>306</v>
      </c>
      <c r="B19" s="18">
        <v>904</v>
      </c>
      <c r="C19" s="112">
        <f t="shared" si="7"/>
        <v>11.718952553798289</v>
      </c>
      <c r="D19" s="18">
        <v>980</v>
      </c>
      <c r="E19" s="112">
        <f t="shared" si="8"/>
        <v>11.320318817142198</v>
      </c>
      <c r="F19" s="18">
        <v>951</v>
      </c>
      <c r="G19" s="112">
        <f t="shared" si="9"/>
        <v>11.86229262816515</v>
      </c>
      <c r="H19" s="18">
        <v>1012</v>
      </c>
      <c r="I19" s="112">
        <f t="shared" si="10"/>
        <v>11.400247831474598</v>
      </c>
      <c r="J19" s="18">
        <f>715+102+94+30</f>
        <v>941</v>
      </c>
      <c r="K19" s="112">
        <f t="shared" si="11"/>
        <v>10.654438405797102</v>
      </c>
    </row>
    <row r="20" spans="1:11" ht="20.100000000000001" customHeight="1">
      <c r="A20" s="24" t="s">
        <v>307</v>
      </c>
      <c r="B20" s="18">
        <v>109</v>
      </c>
      <c r="C20" s="112">
        <f t="shared" si="7"/>
        <v>1.4130152968628467</v>
      </c>
      <c r="D20" s="18">
        <v>143</v>
      </c>
      <c r="E20" s="112">
        <f t="shared" si="8"/>
        <v>1.6518424396442184</v>
      </c>
      <c r="F20" s="18">
        <v>155</v>
      </c>
      <c r="G20" s="112">
        <f t="shared" si="9"/>
        <v>1.9333915429711863</v>
      </c>
      <c r="H20" s="18">
        <v>153</v>
      </c>
      <c r="I20" s="112">
        <f t="shared" si="10"/>
        <v>1.7235552551537681</v>
      </c>
      <c r="J20" s="18">
        <f>141+19+27+9</f>
        <v>196</v>
      </c>
      <c r="K20" s="112">
        <f t="shared" si="11"/>
        <v>2.2192028985507246</v>
      </c>
    </row>
    <row r="21" spans="1:11" ht="20.100000000000001" customHeight="1">
      <c r="A21" s="35" t="s">
        <v>308</v>
      </c>
      <c r="B21" s="22">
        <v>40</v>
      </c>
      <c r="C21" s="113">
        <f t="shared" si="7"/>
        <v>0.51853772361939332</v>
      </c>
      <c r="D21" s="22">
        <v>68</v>
      </c>
      <c r="E21" s="113">
        <f t="shared" si="8"/>
        <v>0.78549150976088711</v>
      </c>
      <c r="F21" s="22">
        <v>46</v>
      </c>
      <c r="G21" s="113">
        <f t="shared" si="9"/>
        <v>0.57378071597854563</v>
      </c>
      <c r="H21" s="22">
        <v>80</v>
      </c>
      <c r="I21" s="113">
        <f t="shared" si="10"/>
        <v>0.90120536217190483</v>
      </c>
      <c r="J21" s="22">
        <f>3+2+48+9</f>
        <v>62</v>
      </c>
      <c r="K21" s="113">
        <f t="shared" si="11"/>
        <v>0.70199275362318836</v>
      </c>
    </row>
    <row r="22" spans="1:11">
      <c r="A22" s="471" t="s">
        <v>134</v>
      </c>
      <c r="B22" s="472"/>
      <c r="C22" s="472"/>
      <c r="D22" s="56"/>
      <c r="E22" s="99"/>
      <c r="F22" s="93"/>
      <c r="G22" s="84"/>
      <c r="H22" s="93"/>
      <c r="I22" s="84"/>
      <c r="J22" s="93"/>
      <c r="K22" s="93"/>
    </row>
    <row r="23" spans="1:11" ht="31.5" customHeight="1">
      <c r="A23" s="470" t="s">
        <v>537</v>
      </c>
      <c r="B23" s="470"/>
      <c r="C23" s="470"/>
      <c r="D23" s="470"/>
      <c r="E23" s="470"/>
      <c r="F23" s="470"/>
      <c r="G23" s="470"/>
      <c r="H23" s="470"/>
      <c r="I23" s="470"/>
      <c r="J23" s="470"/>
      <c r="K23" s="470"/>
    </row>
  </sheetData>
  <mergeCells count="13">
    <mergeCell ref="A22:C22"/>
    <mergeCell ref="A23:K23"/>
    <mergeCell ref="D12:E12"/>
    <mergeCell ref="A1:K1"/>
    <mergeCell ref="F2:G2"/>
    <mergeCell ref="H2:I2"/>
    <mergeCell ref="J2:K2"/>
    <mergeCell ref="B12:C12"/>
    <mergeCell ref="F12:G12"/>
    <mergeCell ref="H12:I12"/>
    <mergeCell ref="B2:C2"/>
    <mergeCell ref="D2:E2"/>
    <mergeCell ref="J12:K12"/>
  </mergeCells>
  <phoneticPr fontId="3" type="noConversion"/>
  <hyperlinks>
    <hyperlink ref="L1" location="本篇表次!A1" display="回本篇表次"/>
  </hyperlinks>
  <printOptions horizontalCentered="1" verticalCentered="1"/>
  <pageMargins left="0.70866141732283472" right="0.70866141732283472" top="0.74803149606299213" bottom="0.74803149606299213" header="0.31496062992125984" footer="0.31496062992125984"/>
  <pageSetup paperSize="224" scale="8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9"/>
  <sheetViews>
    <sheetView showGridLines="0" zoomScale="120" zoomScaleNormal="120" workbookViewId="0">
      <pane xSplit="1" topLeftCell="B1" activePane="topRight" state="frozen"/>
      <selection activeCell="G17" sqref="G17"/>
      <selection pane="topRight" sqref="A1:K1"/>
    </sheetView>
  </sheetViews>
  <sheetFormatPr defaultColWidth="9" defaultRowHeight="16.5"/>
  <cols>
    <col min="1" max="1" width="15.875" customWidth="1"/>
    <col min="12" max="12" width="12.625" bestFit="1" customWidth="1"/>
  </cols>
  <sheetData>
    <row r="1" spans="1:12" ht="20.25">
      <c r="A1" s="389" t="s">
        <v>310</v>
      </c>
      <c r="B1" s="389"/>
      <c r="C1" s="389"/>
      <c r="D1" s="389"/>
      <c r="E1" s="389"/>
      <c r="F1" s="389"/>
      <c r="G1" s="389"/>
      <c r="H1" s="389"/>
      <c r="I1" s="389"/>
      <c r="J1" s="389"/>
      <c r="K1" s="389"/>
      <c r="L1" s="242" t="s">
        <v>548</v>
      </c>
    </row>
    <row r="2" spans="1:12" ht="18.95" customHeight="1">
      <c r="A2" s="16"/>
      <c r="B2" s="395" t="s">
        <v>37</v>
      </c>
      <c r="C2" s="480"/>
      <c r="D2" s="395" t="s">
        <v>38</v>
      </c>
      <c r="E2" s="480"/>
      <c r="F2" s="395" t="s">
        <v>39</v>
      </c>
      <c r="G2" s="395"/>
      <c r="H2" s="395" t="s">
        <v>40</v>
      </c>
      <c r="I2" s="395"/>
      <c r="J2" s="395" t="s">
        <v>41</v>
      </c>
      <c r="K2" s="395"/>
    </row>
    <row r="3" spans="1:12" ht="18.95" customHeight="1">
      <c r="A3" s="4"/>
      <c r="B3" s="8" t="s">
        <v>76</v>
      </c>
      <c r="C3" s="8" t="s">
        <v>60</v>
      </c>
      <c r="D3" s="8" t="s">
        <v>76</v>
      </c>
      <c r="E3" s="8" t="s">
        <v>60</v>
      </c>
      <c r="F3" s="8" t="s">
        <v>76</v>
      </c>
      <c r="G3" s="8" t="s">
        <v>60</v>
      </c>
      <c r="H3" s="8" t="s">
        <v>76</v>
      </c>
      <c r="I3" s="8" t="s">
        <v>60</v>
      </c>
      <c r="J3" s="8" t="s">
        <v>76</v>
      </c>
      <c r="K3" s="8" t="s">
        <v>60</v>
      </c>
    </row>
    <row r="4" spans="1:12" ht="18.95" customHeight="1">
      <c r="A4" s="24" t="s">
        <v>48</v>
      </c>
      <c r="B4" s="10">
        <f t="shared" ref="B4:I4" si="0">SUM(B5:B9)</f>
        <v>9359</v>
      </c>
      <c r="C4" s="30">
        <f t="shared" si="0"/>
        <v>100</v>
      </c>
      <c r="D4" s="10">
        <f t="shared" si="0"/>
        <v>8568</v>
      </c>
      <c r="E4" s="30">
        <f t="shared" si="0"/>
        <v>100</v>
      </c>
      <c r="F4" s="10">
        <f t="shared" si="0"/>
        <v>8132</v>
      </c>
      <c r="G4" s="30">
        <f t="shared" si="0"/>
        <v>100</v>
      </c>
      <c r="H4" s="10">
        <f t="shared" si="0"/>
        <v>8448</v>
      </c>
      <c r="I4" s="30">
        <f t="shared" si="0"/>
        <v>99.999999999999986</v>
      </c>
      <c r="J4" s="10">
        <f>SUM(J5:J9)</f>
        <v>7944</v>
      </c>
      <c r="K4" s="30">
        <f>SUM(K5:K9)</f>
        <v>100</v>
      </c>
    </row>
    <row r="5" spans="1:12" ht="18.95" customHeight="1">
      <c r="A5" s="24" t="s">
        <v>311</v>
      </c>
      <c r="B5" s="5">
        <v>8118</v>
      </c>
      <c r="C5" s="36">
        <f>IFERROR(B5/B$4*100,"-")</f>
        <v>86.740036328667586</v>
      </c>
      <c r="D5" s="5">
        <v>7469</v>
      </c>
      <c r="E5" s="36">
        <f>IFERROR(D5/D$4*100,"-")</f>
        <v>87.173202614379079</v>
      </c>
      <c r="F5" s="5">
        <v>7117</v>
      </c>
      <c r="G5" s="36">
        <f>IFERROR(F5/F$4*100,"-")</f>
        <v>87.518445646827345</v>
      </c>
      <c r="H5" s="5">
        <v>7390</v>
      </c>
      <c r="I5" s="36">
        <f>IFERROR(H5/H$4*100,"-")</f>
        <v>87.476325757575751</v>
      </c>
      <c r="J5" s="5">
        <v>6887</v>
      </c>
      <c r="K5" s="36">
        <f>IFERROR(J5/J$4*100,"-")</f>
        <v>86.694360523665665</v>
      </c>
    </row>
    <row r="6" spans="1:12" ht="18.95" customHeight="1">
      <c r="A6" s="24" t="s">
        <v>312</v>
      </c>
      <c r="B6" s="5">
        <v>793</v>
      </c>
      <c r="C6" s="36">
        <f t="shared" ref="C6:C9" si="1">IFERROR(B6/B$4*100,"-")</f>
        <v>8.4731274708836413</v>
      </c>
      <c r="D6" s="5">
        <v>725</v>
      </c>
      <c r="E6" s="36">
        <f t="shared" ref="E6:E9" si="2">IFERROR(D6/D$4*100,"-")</f>
        <v>8.4617180205415501</v>
      </c>
      <c r="F6" s="5">
        <v>666</v>
      </c>
      <c r="G6" s="36">
        <f t="shared" ref="G6:G9" si="3">IFERROR(F6/F$4*100,"-")</f>
        <v>8.1898671913428434</v>
      </c>
      <c r="H6" s="5">
        <v>742</v>
      </c>
      <c r="I6" s="36">
        <f t="shared" ref="I6:I9" si="4">IFERROR(H6/H$4*100,"-")</f>
        <v>8.7831439393939394</v>
      </c>
      <c r="J6" s="5">
        <v>691</v>
      </c>
      <c r="K6" s="36">
        <f>IFERROR(J6/J$4*100,"-")</f>
        <v>8.6983887210473316</v>
      </c>
    </row>
    <row r="7" spans="1:12" ht="18.95" customHeight="1">
      <c r="A7" s="24" t="s">
        <v>313</v>
      </c>
      <c r="B7" s="5">
        <v>157</v>
      </c>
      <c r="C7" s="36">
        <f t="shared" si="1"/>
        <v>1.6775296506036972</v>
      </c>
      <c r="D7" s="5">
        <v>115</v>
      </c>
      <c r="E7" s="36">
        <f t="shared" si="2"/>
        <v>1.3422035480859009</v>
      </c>
      <c r="F7" s="5">
        <v>105</v>
      </c>
      <c r="G7" s="36">
        <f t="shared" si="3"/>
        <v>1.2911952779144122</v>
      </c>
      <c r="H7" s="5">
        <v>95</v>
      </c>
      <c r="I7" s="36">
        <f t="shared" si="4"/>
        <v>1.1245265151515151</v>
      </c>
      <c r="J7" s="5">
        <v>149</v>
      </c>
      <c r="K7" s="36">
        <f>IFERROR(J7/J$4*100,"-")</f>
        <v>1.875629405840886</v>
      </c>
    </row>
    <row r="8" spans="1:12" ht="18.95" customHeight="1">
      <c r="A8" s="24" t="s">
        <v>314</v>
      </c>
      <c r="B8" s="5">
        <v>242</v>
      </c>
      <c r="C8" s="36">
        <f t="shared" si="1"/>
        <v>2.5857463404209851</v>
      </c>
      <c r="D8" s="5">
        <v>217</v>
      </c>
      <c r="E8" s="36">
        <f t="shared" si="2"/>
        <v>2.5326797385620914</v>
      </c>
      <c r="F8" s="5">
        <v>216</v>
      </c>
      <c r="G8" s="36">
        <f t="shared" si="3"/>
        <v>2.6561731431382194</v>
      </c>
      <c r="H8" s="5">
        <v>190</v>
      </c>
      <c r="I8" s="36">
        <f t="shared" si="4"/>
        <v>2.2490530303030303</v>
      </c>
      <c r="J8" s="5">
        <v>190</v>
      </c>
      <c r="K8" s="36">
        <f>IFERROR(J8/J$4*100,"-")</f>
        <v>2.391742195367573</v>
      </c>
    </row>
    <row r="9" spans="1:12" ht="18.95" customHeight="1" thickBot="1">
      <c r="A9" s="37" t="s">
        <v>315</v>
      </c>
      <c r="B9" s="26">
        <v>49</v>
      </c>
      <c r="C9" s="61">
        <f t="shared" si="1"/>
        <v>0.52356020942408377</v>
      </c>
      <c r="D9" s="26">
        <v>42</v>
      </c>
      <c r="E9" s="61">
        <f t="shared" si="2"/>
        <v>0.49019607843137253</v>
      </c>
      <c r="F9" s="26">
        <v>28</v>
      </c>
      <c r="G9" s="61">
        <f t="shared" si="3"/>
        <v>0.34431874077717661</v>
      </c>
      <c r="H9" s="26">
        <v>31</v>
      </c>
      <c r="I9" s="61">
        <f t="shared" si="4"/>
        <v>0.36695075757575757</v>
      </c>
      <c r="J9" s="26">
        <v>27</v>
      </c>
      <c r="K9" s="61">
        <f>IFERROR(J9/J$4*100,"-")</f>
        <v>0.33987915407854985</v>
      </c>
    </row>
    <row r="10" spans="1:12" ht="18.95" customHeight="1">
      <c r="A10" s="4"/>
      <c r="B10" s="473" t="s">
        <v>42</v>
      </c>
      <c r="C10" s="487"/>
      <c r="D10" s="473" t="s">
        <v>43</v>
      </c>
      <c r="E10" s="487"/>
      <c r="F10" s="474" t="s">
        <v>77</v>
      </c>
      <c r="G10" s="474"/>
      <c r="H10" s="474" t="s">
        <v>539</v>
      </c>
      <c r="I10" s="474"/>
      <c r="J10" s="474" t="s">
        <v>623</v>
      </c>
      <c r="K10" s="474"/>
    </row>
    <row r="11" spans="1:12" ht="18.95" customHeight="1">
      <c r="A11" s="4"/>
      <c r="B11" s="8" t="s">
        <v>76</v>
      </c>
      <c r="C11" s="8" t="s">
        <v>60</v>
      </c>
      <c r="D11" s="8" t="s">
        <v>76</v>
      </c>
      <c r="E11" s="8" t="s">
        <v>60</v>
      </c>
      <c r="F11" s="8" t="s">
        <v>76</v>
      </c>
      <c r="G11" s="8" t="s">
        <v>60</v>
      </c>
      <c r="H11" s="8" t="s">
        <v>76</v>
      </c>
      <c r="I11" s="8" t="s">
        <v>60</v>
      </c>
      <c r="J11" s="8" t="s">
        <v>76</v>
      </c>
      <c r="K11" s="8" t="s">
        <v>60</v>
      </c>
    </row>
    <row r="12" spans="1:12" ht="18.95" customHeight="1">
      <c r="A12" s="24" t="s">
        <v>48</v>
      </c>
      <c r="B12" s="10">
        <f>SUM(B13:B17)</f>
        <v>7829</v>
      </c>
      <c r="C12" s="30">
        <f>SUM(C13:C17)</f>
        <v>100</v>
      </c>
      <c r="D12" s="10">
        <f>SUM(D13:D17)</f>
        <v>8765</v>
      </c>
      <c r="E12" s="30">
        <f>SUM(E13:E17)</f>
        <v>100</v>
      </c>
      <c r="F12" s="10">
        <f t="shared" ref="F12:G12" si="5">SUM(F13:F17)</f>
        <v>8121</v>
      </c>
      <c r="G12" s="30">
        <f t="shared" si="5"/>
        <v>100.00000000000001</v>
      </c>
      <c r="H12" s="10">
        <f>SUM(H13:H17)</f>
        <v>8987</v>
      </c>
      <c r="I12" s="30">
        <f>SUM(I13:I17)</f>
        <v>100</v>
      </c>
      <c r="J12" s="10">
        <f>SUM(J13:J17)</f>
        <v>8951</v>
      </c>
      <c r="K12" s="30">
        <f>SUM(K13:K17)</f>
        <v>100.00000000000001</v>
      </c>
    </row>
    <row r="13" spans="1:12" ht="18.95" customHeight="1">
      <c r="A13" s="24" t="s">
        <v>311</v>
      </c>
      <c r="B13" s="5">
        <v>6757</v>
      </c>
      <c r="C13" s="36">
        <f>IFERROR(B13/B$12*100,"-")</f>
        <v>86.307318942393664</v>
      </c>
      <c r="D13" s="100">
        <v>7523</v>
      </c>
      <c r="E13" s="36">
        <f>IFERROR(D13/D$12*100,"-")</f>
        <v>85.830005704506561</v>
      </c>
      <c r="F13" s="100">
        <v>6980</v>
      </c>
      <c r="G13" s="36">
        <f>IFERROR(F13/F$12*100,"-")</f>
        <v>85.950006156877237</v>
      </c>
      <c r="H13" s="100">
        <v>7756</v>
      </c>
      <c r="I13" s="36">
        <f>IFERROR(H13/H$12*100,"-")</f>
        <v>86.30243685323245</v>
      </c>
      <c r="J13" s="100">
        <f>5872+821+843+219</f>
        <v>7755</v>
      </c>
      <c r="K13" s="36">
        <f>IFERROR(J13/J$12*100,"-")</f>
        <v>86.638364428555477</v>
      </c>
    </row>
    <row r="14" spans="1:12" ht="18.95" customHeight="1">
      <c r="A14" s="24" t="s">
        <v>312</v>
      </c>
      <c r="B14" s="5">
        <v>661</v>
      </c>
      <c r="C14" s="36">
        <f>IFERROR(B14/B$12*100,"-")</f>
        <v>8.4429684506322644</v>
      </c>
      <c r="D14" s="100">
        <v>790</v>
      </c>
      <c r="E14" s="36">
        <f>IFERROR(D14/D$12*100,"-")</f>
        <v>9.0131203650884206</v>
      </c>
      <c r="F14" s="100">
        <v>726</v>
      </c>
      <c r="G14" s="36">
        <f>IFERROR(F14/F$12*100,"-")</f>
        <v>8.9397857406723311</v>
      </c>
      <c r="H14" s="100">
        <v>759</v>
      </c>
      <c r="I14" s="36">
        <f>IFERROR(H14/H$12*100,"-")</f>
        <v>8.4455324357405139</v>
      </c>
      <c r="J14" s="100">
        <f>521+74+74+25</f>
        <v>694</v>
      </c>
      <c r="K14" s="36">
        <f t="shared" ref="K14:K17" si="6">IFERROR(J14/J$12*100,"-")</f>
        <v>7.7533236509887162</v>
      </c>
    </row>
    <row r="15" spans="1:12" ht="18.95" customHeight="1">
      <c r="A15" s="24" t="s">
        <v>313</v>
      </c>
      <c r="B15" s="5">
        <v>220</v>
      </c>
      <c r="C15" s="36">
        <f>IFERROR(B15/B$12*100,"-")</f>
        <v>2.8100651424192105</v>
      </c>
      <c r="D15" s="100">
        <v>239</v>
      </c>
      <c r="E15" s="36">
        <f>IFERROR(D15/D$12*100,"-")</f>
        <v>2.7267541357672562</v>
      </c>
      <c r="F15" s="100">
        <v>233</v>
      </c>
      <c r="G15" s="36">
        <f>IFERROR(F15/F$12*100,"-")</f>
        <v>2.8691047900504865</v>
      </c>
      <c r="H15" s="100">
        <v>265</v>
      </c>
      <c r="I15" s="36">
        <f>IFERROR(H15/H$12*100,"-")</f>
        <v>2.9487036830978077</v>
      </c>
      <c r="J15" s="100">
        <f>251+50+15+7</f>
        <v>323</v>
      </c>
      <c r="K15" s="36">
        <f t="shared" si="6"/>
        <v>3.6085353591777456</v>
      </c>
    </row>
    <row r="16" spans="1:12" ht="18.95" customHeight="1">
      <c r="A16" s="24" t="s">
        <v>314</v>
      </c>
      <c r="B16" s="5">
        <v>163</v>
      </c>
      <c r="C16" s="36">
        <f>IFERROR(B16/B$12*100,"-")</f>
        <v>2.0820028100651427</v>
      </c>
      <c r="D16" s="100">
        <v>180</v>
      </c>
      <c r="E16" s="36">
        <f>IFERROR(D16/D$12*100,"-")</f>
        <v>2.0536223616657159</v>
      </c>
      <c r="F16" s="100">
        <v>168</v>
      </c>
      <c r="G16" s="36">
        <f>IFERROR(F16/F$12*100,"-")</f>
        <v>2.0687107499076469</v>
      </c>
      <c r="H16" s="100">
        <v>190</v>
      </c>
      <c r="I16" s="36">
        <f>IFERROR(H16/H$12*100,"-")</f>
        <v>2.1141649048625792</v>
      </c>
      <c r="J16" s="100">
        <f>120+19+12+4</f>
        <v>155</v>
      </c>
      <c r="K16" s="36">
        <f t="shared" si="6"/>
        <v>1.7316500949614571</v>
      </c>
    </row>
    <row r="17" spans="1:11" ht="18.95" customHeight="1">
      <c r="A17" s="35" t="s">
        <v>315</v>
      </c>
      <c r="B17" s="7">
        <v>28</v>
      </c>
      <c r="C17" s="49">
        <f>IFERROR(B17/B$12*100,"-")</f>
        <v>0.35764465448971772</v>
      </c>
      <c r="D17" s="206">
        <v>33</v>
      </c>
      <c r="E17" s="49">
        <f>IFERROR(D17/D$12*100,"-")</f>
        <v>0.37649743297204791</v>
      </c>
      <c r="F17" s="206">
        <v>14</v>
      </c>
      <c r="G17" s="49">
        <f>IFERROR(F17/F$12*100,"-")</f>
        <v>0.17239256249230389</v>
      </c>
      <c r="H17" s="206">
        <v>17</v>
      </c>
      <c r="I17" s="49">
        <f>IFERROR(H17/H$12*100,"-")</f>
        <v>0.18916212306665181</v>
      </c>
      <c r="J17" s="206">
        <f>17+6+1</f>
        <v>24</v>
      </c>
      <c r="K17" s="49">
        <f t="shared" si="6"/>
        <v>0.26812646631661269</v>
      </c>
    </row>
    <row r="18" spans="1:11">
      <c r="A18" s="115" t="s">
        <v>134</v>
      </c>
      <c r="B18" s="11"/>
      <c r="C18" s="11"/>
      <c r="D18" s="11"/>
      <c r="E18" s="11"/>
      <c r="F18" s="11"/>
      <c r="G18" s="11"/>
      <c r="H18" s="11"/>
      <c r="I18" s="11"/>
      <c r="J18" s="38"/>
      <c r="K18" s="38"/>
    </row>
    <row r="19" spans="1:11">
      <c r="A19" s="488" t="s">
        <v>538</v>
      </c>
      <c r="B19" s="489"/>
      <c r="C19" s="489"/>
      <c r="D19" s="489"/>
      <c r="E19" s="489"/>
      <c r="F19" s="489"/>
      <c r="G19" s="489"/>
      <c r="H19" s="489"/>
      <c r="I19" s="489"/>
      <c r="J19" s="489"/>
      <c r="K19" s="489"/>
    </row>
  </sheetData>
  <mergeCells count="12">
    <mergeCell ref="A19:K19"/>
    <mergeCell ref="B2:C2"/>
    <mergeCell ref="J2:K2"/>
    <mergeCell ref="B10:C10"/>
    <mergeCell ref="D10:E10"/>
    <mergeCell ref="D2:E2"/>
    <mergeCell ref="J10:K10"/>
    <mergeCell ref="A1:K1"/>
    <mergeCell ref="F2:G2"/>
    <mergeCell ref="H2:I2"/>
    <mergeCell ref="F10:G10"/>
    <mergeCell ref="H10:I10"/>
  </mergeCells>
  <phoneticPr fontId="3" type="noConversion"/>
  <hyperlinks>
    <hyperlink ref="L1" location="本篇表次!A1" display="回本篇表次"/>
  </hyperlinks>
  <printOptions horizontalCentered="1" verticalCentered="1"/>
  <pageMargins left="0.70866141732283472" right="0.70866141732283472" top="0.74803149606299213" bottom="0.74803149606299213" header="0.31496062992125984" footer="0.31496062992125984"/>
  <pageSetup paperSize="224" scale="9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23"/>
  <sheetViews>
    <sheetView showGridLines="0" zoomScale="120" zoomScaleNormal="120" workbookViewId="0">
      <pane xSplit="1" topLeftCell="B1" activePane="topRight" state="frozen"/>
      <selection activeCell="G17" sqref="G17"/>
      <selection pane="topRight" sqref="A1:K1"/>
    </sheetView>
  </sheetViews>
  <sheetFormatPr defaultColWidth="9" defaultRowHeight="16.5"/>
  <cols>
    <col min="1" max="1" width="15.875" customWidth="1"/>
    <col min="12" max="12" width="12.625" bestFit="1" customWidth="1"/>
  </cols>
  <sheetData>
    <row r="1" spans="1:12" ht="21.95" customHeight="1">
      <c r="A1" s="389" t="s">
        <v>552</v>
      </c>
      <c r="B1" s="389"/>
      <c r="C1" s="389"/>
      <c r="D1" s="389"/>
      <c r="E1" s="389"/>
      <c r="F1" s="389"/>
      <c r="G1" s="389"/>
      <c r="H1" s="389"/>
      <c r="I1" s="389"/>
      <c r="J1" s="389"/>
      <c r="K1" s="389"/>
      <c r="L1" s="242" t="s">
        <v>548</v>
      </c>
    </row>
    <row r="2" spans="1:12" ht="18.95" customHeight="1">
      <c r="A2" s="16"/>
      <c r="B2" s="395" t="s">
        <v>37</v>
      </c>
      <c r="C2" s="480"/>
      <c r="D2" s="395" t="s">
        <v>38</v>
      </c>
      <c r="E2" s="395"/>
      <c r="F2" s="395" t="s">
        <v>39</v>
      </c>
      <c r="G2" s="395"/>
      <c r="H2" s="395" t="s">
        <v>40</v>
      </c>
      <c r="I2" s="395"/>
      <c r="J2" s="395" t="s">
        <v>41</v>
      </c>
      <c r="K2" s="395"/>
    </row>
    <row r="3" spans="1:12" ht="18.95" customHeight="1">
      <c r="A3" s="6"/>
      <c r="B3" s="8" t="s">
        <v>76</v>
      </c>
      <c r="C3" s="8" t="s">
        <v>60</v>
      </c>
      <c r="D3" s="8" t="s">
        <v>76</v>
      </c>
      <c r="E3" s="8" t="s">
        <v>60</v>
      </c>
      <c r="F3" s="8" t="s">
        <v>76</v>
      </c>
      <c r="G3" s="8" t="s">
        <v>60</v>
      </c>
      <c r="H3" s="8" t="s">
        <v>76</v>
      </c>
      <c r="I3" s="8" t="s">
        <v>60</v>
      </c>
      <c r="J3" s="8" t="s">
        <v>76</v>
      </c>
      <c r="K3" s="8" t="s">
        <v>60</v>
      </c>
    </row>
    <row r="4" spans="1:12" ht="18.95" customHeight="1">
      <c r="A4" s="34" t="s">
        <v>48</v>
      </c>
      <c r="B4" s="10">
        <f t="shared" ref="B4:I4" si="0">SUM(B5:B11)</f>
        <v>9359</v>
      </c>
      <c r="C4" s="30">
        <f t="shared" si="0"/>
        <v>99.999999999999986</v>
      </c>
      <c r="D4" s="10">
        <f t="shared" si="0"/>
        <v>8568</v>
      </c>
      <c r="E4" s="30">
        <f t="shared" si="0"/>
        <v>100</v>
      </c>
      <c r="F4" s="10">
        <f t="shared" si="0"/>
        <v>8132</v>
      </c>
      <c r="G4" s="30">
        <f t="shared" si="0"/>
        <v>100</v>
      </c>
      <c r="H4" s="10">
        <f t="shared" si="0"/>
        <v>8448</v>
      </c>
      <c r="I4" s="30">
        <f t="shared" si="0"/>
        <v>100</v>
      </c>
      <c r="J4" s="10">
        <f>SUM(J5:J11)</f>
        <v>7944</v>
      </c>
      <c r="K4" s="30">
        <f>SUM(K5:K11)</f>
        <v>100</v>
      </c>
    </row>
    <row r="5" spans="1:12" ht="18.95" customHeight="1">
      <c r="A5" s="24" t="s">
        <v>96</v>
      </c>
      <c r="B5" s="5">
        <v>3625</v>
      </c>
      <c r="C5" s="36">
        <f>IFERROR(B5/B$4*100,"-")</f>
        <v>38.732770595149049</v>
      </c>
      <c r="D5" s="5">
        <v>3386</v>
      </c>
      <c r="E5" s="36">
        <f>IFERROR(D5/D$4*100,"-")</f>
        <v>39.519140989729223</v>
      </c>
      <c r="F5" s="5">
        <v>3191</v>
      </c>
      <c r="G5" s="36">
        <f>IFERROR(F5/F$4*100,"-")</f>
        <v>39.240039350713232</v>
      </c>
      <c r="H5" s="5">
        <v>3547</v>
      </c>
      <c r="I5" s="36">
        <f>IFERROR(H5/H$4*100,"-")</f>
        <v>41.986268939393938</v>
      </c>
      <c r="J5" s="5">
        <v>3282</v>
      </c>
      <c r="K5" s="36">
        <f t="shared" ref="K5:K11" si="1">IFERROR(J5/J$4*100,"-")</f>
        <v>41.314199395770387</v>
      </c>
    </row>
    <row r="6" spans="1:12" ht="18.95" customHeight="1">
      <c r="A6" s="24" t="s">
        <v>97</v>
      </c>
      <c r="B6" s="5">
        <v>3665</v>
      </c>
      <c r="C6" s="36">
        <f t="shared" ref="C6:C11" si="2">IFERROR(B6/B$4*100,"-")</f>
        <v>39.160166684474838</v>
      </c>
      <c r="D6" s="5">
        <v>3279</v>
      </c>
      <c r="E6" s="36">
        <f t="shared" ref="E6:E11" si="3">IFERROR(D6/D$4*100,"-")</f>
        <v>38.270308123249293</v>
      </c>
      <c r="F6" s="5">
        <v>3150</v>
      </c>
      <c r="G6" s="36">
        <f t="shared" ref="G6:G11" si="4">IFERROR(F6/F$4*100,"-")</f>
        <v>38.735858337432369</v>
      </c>
      <c r="H6" s="5">
        <v>3072</v>
      </c>
      <c r="I6" s="36">
        <f t="shared" ref="I6:I11" si="5">IFERROR(H6/H$4*100,"-")</f>
        <v>36.363636363636367</v>
      </c>
      <c r="J6" s="5">
        <v>2863</v>
      </c>
      <c r="K6" s="36">
        <f t="shared" si="1"/>
        <v>36.039778449144002</v>
      </c>
    </row>
    <row r="7" spans="1:12" ht="18.95" customHeight="1">
      <c r="A7" s="24" t="s">
        <v>99</v>
      </c>
      <c r="B7" s="5">
        <v>547</v>
      </c>
      <c r="C7" s="36">
        <f>IFERROR(B7/B$4*100,"-")</f>
        <v>5.844641521530078</v>
      </c>
      <c r="D7" s="5">
        <v>485</v>
      </c>
      <c r="E7" s="36">
        <f>IFERROR(D7/D$4*100,"-")</f>
        <v>5.6605975723622786</v>
      </c>
      <c r="F7" s="5">
        <v>459</v>
      </c>
      <c r="G7" s="36">
        <f>IFERROR(F7/F$4*100,"-")</f>
        <v>5.6443679291687161</v>
      </c>
      <c r="H7" s="5">
        <v>458</v>
      </c>
      <c r="I7" s="36">
        <f>IFERROR(H7/H$4*100,"-")</f>
        <v>5.4214015151515156</v>
      </c>
      <c r="J7" s="5">
        <v>521</v>
      </c>
      <c r="K7" s="36">
        <f t="shared" si="1"/>
        <v>6.5584088620342404</v>
      </c>
    </row>
    <row r="8" spans="1:12" ht="18.95" customHeight="1">
      <c r="A8" s="24" t="s">
        <v>98</v>
      </c>
      <c r="B8" s="5">
        <v>633</v>
      </c>
      <c r="C8" s="36">
        <f>IFERROR(B8/B$4*100,"-")</f>
        <v>6.7635431135805115</v>
      </c>
      <c r="D8" s="5">
        <v>537</v>
      </c>
      <c r="E8" s="36">
        <f>IFERROR(D8/D$4*100,"-")</f>
        <v>6.2675070028011204</v>
      </c>
      <c r="F8" s="5">
        <v>542</v>
      </c>
      <c r="G8" s="36">
        <f>IFERROR(F8/F$4*100,"-")</f>
        <v>6.6650270536153471</v>
      </c>
      <c r="H8" s="5">
        <v>552</v>
      </c>
      <c r="I8" s="36">
        <f>IFERROR(H8/H$4*100,"-")</f>
        <v>6.5340909090909092</v>
      </c>
      <c r="J8" s="5">
        <v>515</v>
      </c>
      <c r="K8" s="36">
        <f t="shared" si="1"/>
        <v>6.4828801611278948</v>
      </c>
    </row>
    <row r="9" spans="1:12" ht="18.95" customHeight="1">
      <c r="A9" s="24" t="s">
        <v>100</v>
      </c>
      <c r="B9" s="5">
        <v>236</v>
      </c>
      <c r="C9" s="36">
        <f t="shared" si="2"/>
        <v>2.5216369270221177</v>
      </c>
      <c r="D9" s="5">
        <v>208</v>
      </c>
      <c r="E9" s="36">
        <f t="shared" si="3"/>
        <v>2.4276377217553691</v>
      </c>
      <c r="F9" s="5">
        <v>173</v>
      </c>
      <c r="G9" s="36">
        <f t="shared" si="4"/>
        <v>2.1273979340875551</v>
      </c>
      <c r="H9" s="5">
        <v>178</v>
      </c>
      <c r="I9" s="36">
        <f t="shared" si="5"/>
        <v>2.1070075757575757</v>
      </c>
      <c r="J9" s="5">
        <v>175</v>
      </c>
      <c r="K9" s="36">
        <f t="shared" si="1"/>
        <v>2.202920443101712</v>
      </c>
    </row>
    <row r="10" spans="1:12" ht="18.95" customHeight="1">
      <c r="A10" s="24" t="s">
        <v>101</v>
      </c>
      <c r="B10" s="5">
        <v>72</v>
      </c>
      <c r="C10" s="36">
        <f t="shared" si="2"/>
        <v>0.76931296078640876</v>
      </c>
      <c r="D10" s="5">
        <v>86</v>
      </c>
      <c r="E10" s="36">
        <f t="shared" si="3"/>
        <v>1.003734827264239</v>
      </c>
      <c r="F10" s="5">
        <v>74</v>
      </c>
      <c r="G10" s="36">
        <f t="shared" si="4"/>
        <v>0.90998524348253806</v>
      </c>
      <c r="H10" s="5">
        <v>53</v>
      </c>
      <c r="I10" s="36">
        <f t="shared" si="5"/>
        <v>0.6273674242424242</v>
      </c>
      <c r="J10" s="5">
        <v>35</v>
      </c>
      <c r="K10" s="36">
        <f t="shared" si="1"/>
        <v>0.44058408862034243</v>
      </c>
    </row>
    <row r="11" spans="1:12" ht="18.95" customHeight="1" thickBot="1">
      <c r="A11" s="37" t="s">
        <v>36</v>
      </c>
      <c r="B11" s="26">
        <v>581</v>
      </c>
      <c r="C11" s="61">
        <f t="shared" si="2"/>
        <v>6.2079281974569929</v>
      </c>
      <c r="D11" s="26">
        <v>587</v>
      </c>
      <c r="E11" s="61">
        <f t="shared" si="3"/>
        <v>6.8510737628384692</v>
      </c>
      <c r="F11" s="26">
        <v>543</v>
      </c>
      <c r="G11" s="61">
        <f t="shared" si="4"/>
        <v>6.6773241515002457</v>
      </c>
      <c r="H11" s="26">
        <v>588</v>
      </c>
      <c r="I11" s="61">
        <f t="shared" si="5"/>
        <v>6.9602272727272725</v>
      </c>
      <c r="J11" s="26">
        <v>553</v>
      </c>
      <c r="K11" s="61">
        <f t="shared" si="1"/>
        <v>6.9612286002014097</v>
      </c>
    </row>
    <row r="12" spans="1:12" ht="18.95" customHeight="1">
      <c r="A12" s="4"/>
      <c r="B12" s="474" t="s">
        <v>42</v>
      </c>
      <c r="C12" s="481"/>
      <c r="D12" s="474" t="s">
        <v>43</v>
      </c>
      <c r="E12" s="481"/>
      <c r="F12" s="474" t="s">
        <v>77</v>
      </c>
      <c r="G12" s="474"/>
      <c r="H12" s="474" t="s">
        <v>73</v>
      </c>
      <c r="I12" s="481"/>
      <c r="J12" s="474" t="s">
        <v>624</v>
      </c>
      <c r="K12" s="481"/>
    </row>
    <row r="13" spans="1:12" ht="18.95" customHeight="1">
      <c r="A13" s="6"/>
      <c r="B13" s="8" t="s">
        <v>76</v>
      </c>
      <c r="C13" s="8" t="s">
        <v>60</v>
      </c>
      <c r="D13" s="8" t="s">
        <v>76</v>
      </c>
      <c r="E13" s="8" t="s">
        <v>60</v>
      </c>
      <c r="F13" s="8" t="s">
        <v>76</v>
      </c>
      <c r="G13" s="8" t="s">
        <v>60</v>
      </c>
      <c r="H13" s="8" t="s">
        <v>76</v>
      </c>
      <c r="I13" s="8" t="s">
        <v>60</v>
      </c>
      <c r="J13" s="8" t="s">
        <v>76</v>
      </c>
      <c r="K13" s="8" t="s">
        <v>60</v>
      </c>
    </row>
    <row r="14" spans="1:12" ht="18.95" customHeight="1">
      <c r="A14" s="34" t="s">
        <v>48</v>
      </c>
      <c r="B14" s="10">
        <f t="shared" ref="B14:K14" si="6">SUM(B15:B21)</f>
        <v>7829</v>
      </c>
      <c r="C14" s="30">
        <f t="shared" si="6"/>
        <v>99.999999999999986</v>
      </c>
      <c r="D14" s="10">
        <f t="shared" si="6"/>
        <v>8765</v>
      </c>
      <c r="E14" s="30">
        <f t="shared" si="6"/>
        <v>100.00000000000001</v>
      </c>
      <c r="F14" s="10">
        <f t="shared" si="6"/>
        <v>8121</v>
      </c>
      <c r="G14" s="30">
        <f t="shared" si="6"/>
        <v>100</v>
      </c>
      <c r="H14" s="10">
        <f t="shared" si="6"/>
        <v>8987</v>
      </c>
      <c r="I14" s="30">
        <f t="shared" si="6"/>
        <v>100</v>
      </c>
      <c r="J14" s="10">
        <f t="shared" si="6"/>
        <v>8951</v>
      </c>
      <c r="K14" s="30">
        <f t="shared" si="6"/>
        <v>100</v>
      </c>
    </row>
    <row r="15" spans="1:12" ht="18.95" customHeight="1">
      <c r="A15" s="24" t="s">
        <v>96</v>
      </c>
      <c r="B15" s="5">
        <v>3136</v>
      </c>
      <c r="C15" s="36">
        <f t="shared" ref="C15:C21" si="7">IFERROR(B15/B$14*100,"-")</f>
        <v>40.056201302848379</v>
      </c>
      <c r="D15" s="100">
        <v>3618</v>
      </c>
      <c r="E15" s="36">
        <f t="shared" ref="E15:E21" si="8">IFERROR(D15/D$14*100,"-")</f>
        <v>41.277809469480893</v>
      </c>
      <c r="F15" s="100">
        <v>3249</v>
      </c>
      <c r="G15" s="36">
        <f t="shared" ref="G15:G21" si="9">IFERROR(F15/F$14*100,"-")</f>
        <v>40.007388252678247</v>
      </c>
      <c r="H15" s="100">
        <v>3588</v>
      </c>
      <c r="I15" s="36">
        <f t="shared" ref="I15:I21" si="10">IFERROR(H15/H$14*100,"-")</f>
        <v>39.924335150773338</v>
      </c>
      <c r="J15" s="100">
        <f>2752+431+344+96</f>
        <v>3623</v>
      </c>
      <c r="K15" s="36">
        <f>IFERROR(J15/J$14*100,"-")</f>
        <v>40.475924477711992</v>
      </c>
    </row>
    <row r="16" spans="1:12" ht="18.95" customHeight="1">
      <c r="A16" s="24" t="s">
        <v>97</v>
      </c>
      <c r="B16" s="5">
        <v>2945</v>
      </c>
      <c r="C16" s="36">
        <f t="shared" si="7"/>
        <v>37.616553838293527</v>
      </c>
      <c r="D16" s="100">
        <v>3198</v>
      </c>
      <c r="E16" s="36">
        <f t="shared" si="8"/>
        <v>36.486023958927554</v>
      </c>
      <c r="F16" s="100">
        <v>3097</v>
      </c>
      <c r="G16" s="36">
        <f t="shared" si="9"/>
        <v>38.135697574190367</v>
      </c>
      <c r="H16" s="100">
        <v>3406</v>
      </c>
      <c r="I16" s="36">
        <f t="shared" si="10"/>
        <v>37.899187715589186</v>
      </c>
      <c r="J16" s="100">
        <f>2605+299+440+102</f>
        <v>3446</v>
      </c>
      <c r="K16" s="36">
        <f t="shared" ref="K16:K21" si="11">IFERROR(J16/J$14*100,"-")</f>
        <v>38.498491788626971</v>
      </c>
    </row>
    <row r="17" spans="1:11" ht="18.95" customHeight="1">
      <c r="A17" s="24" t="s">
        <v>99</v>
      </c>
      <c r="B17" s="5">
        <v>478</v>
      </c>
      <c r="C17" s="36">
        <f t="shared" si="7"/>
        <v>6.1055051730744667</v>
      </c>
      <c r="D17" s="100">
        <v>543</v>
      </c>
      <c r="E17" s="36">
        <f t="shared" si="8"/>
        <v>6.1950941243582429</v>
      </c>
      <c r="F17" s="100">
        <v>505</v>
      </c>
      <c r="G17" s="36">
        <f t="shared" si="9"/>
        <v>6.218446004186676</v>
      </c>
      <c r="H17" s="100">
        <v>527</v>
      </c>
      <c r="I17" s="36">
        <f t="shared" si="10"/>
        <v>5.8640258150662063</v>
      </c>
      <c r="J17" s="100">
        <f>370+79+39+20</f>
        <v>508</v>
      </c>
      <c r="K17" s="36">
        <f t="shared" si="11"/>
        <v>5.6753435370349683</v>
      </c>
    </row>
    <row r="18" spans="1:11" ht="18.95" customHeight="1">
      <c r="A18" s="24" t="s">
        <v>98</v>
      </c>
      <c r="B18" s="5">
        <v>457</v>
      </c>
      <c r="C18" s="36">
        <f t="shared" si="7"/>
        <v>5.8372716822071782</v>
      </c>
      <c r="D18" s="100">
        <v>586</v>
      </c>
      <c r="E18" s="36">
        <f t="shared" si="8"/>
        <v>6.6856816885339416</v>
      </c>
      <c r="F18" s="100">
        <v>452</v>
      </c>
      <c r="G18" s="36">
        <f t="shared" si="9"/>
        <v>5.5658170176086683</v>
      </c>
      <c r="H18" s="100">
        <v>519</v>
      </c>
      <c r="I18" s="36">
        <f t="shared" si="10"/>
        <v>5.7750083453877821</v>
      </c>
      <c r="J18" s="100">
        <f>348+34+61+15</f>
        <v>458</v>
      </c>
      <c r="K18" s="36">
        <f t="shared" si="11"/>
        <v>5.1167467322086919</v>
      </c>
    </row>
    <row r="19" spans="1:11" ht="18.95" customHeight="1">
      <c r="A19" s="24" t="s">
        <v>100</v>
      </c>
      <c r="B19" s="5">
        <v>158</v>
      </c>
      <c r="C19" s="36">
        <f t="shared" si="7"/>
        <v>2.0181376931919783</v>
      </c>
      <c r="D19" s="100">
        <v>131</v>
      </c>
      <c r="E19" s="36">
        <f t="shared" si="8"/>
        <v>1.4945807187678266</v>
      </c>
      <c r="F19" s="100">
        <v>146</v>
      </c>
      <c r="G19" s="36">
        <f t="shared" si="9"/>
        <v>1.7978081517054549</v>
      </c>
      <c r="H19" s="100">
        <v>211</v>
      </c>
      <c r="I19" s="36">
        <f t="shared" si="10"/>
        <v>2.3478357627684434</v>
      </c>
      <c r="J19" s="100">
        <f>151+19+18+2</f>
        <v>190</v>
      </c>
      <c r="K19" s="36">
        <f t="shared" si="11"/>
        <v>2.1226678583398502</v>
      </c>
    </row>
    <row r="20" spans="1:11" ht="18.95" customHeight="1">
      <c r="A20" s="24" t="s">
        <v>101</v>
      </c>
      <c r="B20" s="5">
        <v>69</v>
      </c>
      <c r="C20" s="36">
        <f t="shared" si="7"/>
        <v>0.88133861284966153</v>
      </c>
      <c r="D20" s="100">
        <v>68</v>
      </c>
      <c r="E20" s="36">
        <f t="shared" si="8"/>
        <v>0.77581289218482608</v>
      </c>
      <c r="F20" s="100">
        <v>73</v>
      </c>
      <c r="G20" s="36">
        <f t="shared" si="9"/>
        <v>0.89890407585272747</v>
      </c>
      <c r="H20" s="100">
        <v>79</v>
      </c>
      <c r="I20" s="36">
        <f t="shared" si="10"/>
        <v>0.87904751307444096</v>
      </c>
      <c r="J20" s="100">
        <f>39+10+1+2</f>
        <v>52</v>
      </c>
      <c r="K20" s="36">
        <f t="shared" si="11"/>
        <v>0.58094067701932739</v>
      </c>
    </row>
    <row r="21" spans="1:11" ht="18.95" customHeight="1">
      <c r="A21" s="35" t="s">
        <v>36</v>
      </c>
      <c r="B21" s="7">
        <v>586</v>
      </c>
      <c r="C21" s="49">
        <f t="shared" si="7"/>
        <v>7.4849916975348068</v>
      </c>
      <c r="D21" s="206">
        <v>621</v>
      </c>
      <c r="E21" s="49">
        <f t="shared" si="8"/>
        <v>7.0849971477467202</v>
      </c>
      <c r="F21" s="206">
        <v>599</v>
      </c>
      <c r="G21" s="49">
        <f t="shared" si="9"/>
        <v>7.3759389237778601</v>
      </c>
      <c r="H21" s="206">
        <v>657</v>
      </c>
      <c r="I21" s="49">
        <f t="shared" si="10"/>
        <v>7.3105596973406035</v>
      </c>
      <c r="J21" s="206">
        <f>516+98+42+18</f>
        <v>674</v>
      </c>
      <c r="K21" s="49">
        <f t="shared" si="11"/>
        <v>7.5298849290582055</v>
      </c>
    </row>
    <row r="22" spans="1:11">
      <c r="A22" s="115" t="s">
        <v>134</v>
      </c>
      <c r="B22" s="11"/>
      <c r="C22" s="11"/>
      <c r="D22" s="11"/>
      <c r="E22" s="11"/>
      <c r="F22" s="11"/>
      <c r="G22" s="11"/>
      <c r="H22" s="11"/>
      <c r="I22" s="11"/>
      <c r="J22" s="38"/>
      <c r="K22" s="38"/>
    </row>
    <row r="23" spans="1:11">
      <c r="A23" s="470" t="s">
        <v>535</v>
      </c>
      <c r="B23" s="484"/>
      <c r="C23" s="484"/>
      <c r="D23" s="484"/>
      <c r="E23" s="484"/>
      <c r="F23" s="484"/>
      <c r="G23" s="484"/>
      <c r="H23" s="484"/>
      <c r="I23" s="484"/>
      <c r="J23" s="484"/>
      <c r="K23" s="484"/>
    </row>
  </sheetData>
  <mergeCells count="12">
    <mergeCell ref="A23:K23"/>
    <mergeCell ref="A1:K1"/>
    <mergeCell ref="B2:C2"/>
    <mergeCell ref="D2:E2"/>
    <mergeCell ref="F2:G2"/>
    <mergeCell ref="H2:I2"/>
    <mergeCell ref="J2:K2"/>
    <mergeCell ref="B12:C12"/>
    <mergeCell ref="D12:E12"/>
    <mergeCell ref="F12:G12"/>
    <mergeCell ref="H12:I12"/>
    <mergeCell ref="J12:K12"/>
  </mergeCells>
  <phoneticPr fontId="3" type="noConversion"/>
  <hyperlinks>
    <hyperlink ref="L1" location="本篇表次!A1" display="回本篇表次"/>
  </hyperlinks>
  <printOptions horizontalCentered="1" verticalCentered="1"/>
  <pageMargins left="0.70866141732283472" right="0.70866141732283472" top="0.74803149606299213" bottom="0.74803149606299213" header="0.31496062992125984" footer="0.31496062992125984"/>
  <pageSetup paperSize="224" scale="9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9"/>
  <sheetViews>
    <sheetView showGridLines="0" zoomScaleNormal="100" workbookViewId="0">
      <pane xSplit="1" topLeftCell="F1" activePane="topRight" state="frozen"/>
      <selection activeCell="G17" sqref="G17"/>
      <selection pane="topRight" sqref="A1:Y1"/>
    </sheetView>
  </sheetViews>
  <sheetFormatPr defaultColWidth="8.5" defaultRowHeight="16.5"/>
  <cols>
    <col min="1" max="1" width="22.375" customWidth="1"/>
    <col min="2" max="5" width="8.5" hidden="1" customWidth="1"/>
    <col min="6" max="25" width="8.5" customWidth="1"/>
    <col min="26" max="26" width="12.625" bestFit="1" customWidth="1"/>
  </cols>
  <sheetData>
    <row r="1" spans="1:26" ht="21" customHeight="1">
      <c r="A1" s="398" t="s">
        <v>553</v>
      </c>
      <c r="B1" s="398"/>
      <c r="C1" s="398"/>
      <c r="D1" s="398"/>
      <c r="E1" s="398"/>
      <c r="F1" s="398"/>
      <c r="G1" s="398"/>
      <c r="H1" s="398"/>
      <c r="I1" s="398"/>
      <c r="J1" s="398"/>
      <c r="K1" s="398"/>
      <c r="L1" s="398"/>
      <c r="M1" s="398"/>
      <c r="N1" s="398"/>
      <c r="O1" s="398"/>
      <c r="P1" s="398"/>
      <c r="Q1" s="398"/>
      <c r="R1" s="398"/>
      <c r="S1" s="398"/>
      <c r="T1" s="398"/>
      <c r="U1" s="398"/>
      <c r="V1" s="398"/>
      <c r="W1" s="398"/>
      <c r="X1" s="398"/>
      <c r="Y1" s="398"/>
      <c r="Z1" s="242" t="s">
        <v>548</v>
      </c>
    </row>
    <row r="2" spans="1:26">
      <c r="A2" s="12"/>
      <c r="B2" s="479" t="s">
        <v>316</v>
      </c>
      <c r="C2" s="479"/>
      <c r="D2" s="479" t="s">
        <v>733</v>
      </c>
      <c r="E2" s="479"/>
      <c r="F2" s="479" t="s">
        <v>317</v>
      </c>
      <c r="G2" s="479"/>
      <c r="H2" s="479" t="s">
        <v>318</v>
      </c>
      <c r="I2" s="479"/>
      <c r="J2" s="479" t="s">
        <v>319</v>
      </c>
      <c r="K2" s="479"/>
      <c r="L2" s="479" t="s">
        <v>320</v>
      </c>
      <c r="M2" s="479"/>
      <c r="N2" s="479" t="s">
        <v>321</v>
      </c>
      <c r="O2" s="479"/>
      <c r="P2" s="479" t="s">
        <v>322</v>
      </c>
      <c r="Q2" s="479"/>
      <c r="R2" s="479" t="s">
        <v>323</v>
      </c>
      <c r="S2" s="479"/>
      <c r="T2" s="479" t="s">
        <v>324</v>
      </c>
      <c r="U2" s="479"/>
      <c r="V2" s="395" t="s">
        <v>73</v>
      </c>
      <c r="W2" s="480"/>
      <c r="X2" s="395" t="s">
        <v>624</v>
      </c>
      <c r="Y2" s="480"/>
    </row>
    <row r="3" spans="1:26" ht="20.100000000000001" customHeight="1">
      <c r="A3" s="13"/>
      <c r="B3" s="17" t="s">
        <v>102</v>
      </c>
      <c r="C3" s="17" t="s">
        <v>60</v>
      </c>
      <c r="D3" s="17" t="s">
        <v>102</v>
      </c>
      <c r="E3" s="17" t="s">
        <v>60</v>
      </c>
      <c r="F3" s="17" t="s">
        <v>102</v>
      </c>
      <c r="G3" s="17" t="s">
        <v>60</v>
      </c>
      <c r="H3" s="17" t="s">
        <v>102</v>
      </c>
      <c r="I3" s="17" t="s">
        <v>60</v>
      </c>
      <c r="J3" s="17" t="s">
        <v>102</v>
      </c>
      <c r="K3" s="17" t="s">
        <v>60</v>
      </c>
      <c r="L3" s="17" t="s">
        <v>102</v>
      </c>
      <c r="M3" s="17" t="s">
        <v>60</v>
      </c>
      <c r="N3" s="17" t="s">
        <v>102</v>
      </c>
      <c r="O3" s="17" t="s">
        <v>60</v>
      </c>
      <c r="P3" s="17" t="s">
        <v>102</v>
      </c>
      <c r="Q3" s="17" t="s">
        <v>60</v>
      </c>
      <c r="R3" s="17" t="s">
        <v>102</v>
      </c>
      <c r="S3" s="17" t="s">
        <v>60</v>
      </c>
      <c r="T3" s="17" t="s">
        <v>102</v>
      </c>
      <c r="U3" s="17" t="s">
        <v>60</v>
      </c>
      <c r="V3" s="17" t="s">
        <v>102</v>
      </c>
      <c r="W3" s="17" t="s">
        <v>60</v>
      </c>
      <c r="X3" s="17" t="s">
        <v>102</v>
      </c>
      <c r="Y3" s="17" t="s">
        <v>60</v>
      </c>
    </row>
    <row r="4" spans="1:26" ht="20.100000000000001" customHeight="1">
      <c r="A4" s="52" t="s">
        <v>325</v>
      </c>
      <c r="B4" s="14">
        <f t="shared" ref="B4:Y4" si="0">SUM(B7:B37)</f>
        <v>378</v>
      </c>
      <c r="C4" s="15">
        <f t="shared" si="0"/>
        <v>100.00000000000001</v>
      </c>
      <c r="D4" s="14">
        <f t="shared" si="0"/>
        <v>388</v>
      </c>
      <c r="E4" s="15">
        <f t="shared" si="0"/>
        <v>100.00000000000001</v>
      </c>
      <c r="F4" s="14">
        <f t="shared" si="0"/>
        <v>409</v>
      </c>
      <c r="G4" s="15">
        <f t="shared" si="0"/>
        <v>99.999999999999957</v>
      </c>
      <c r="H4" s="14">
        <f t="shared" si="0"/>
        <v>279</v>
      </c>
      <c r="I4" s="15">
        <f t="shared" si="0"/>
        <v>100.00000000000001</v>
      </c>
      <c r="J4" s="14">
        <f t="shared" si="0"/>
        <v>261</v>
      </c>
      <c r="K4" s="15">
        <f t="shared" si="0"/>
        <v>99.999999999999986</v>
      </c>
      <c r="L4" s="14">
        <f t="shared" si="0"/>
        <v>293</v>
      </c>
      <c r="M4" s="15">
        <f t="shared" si="0"/>
        <v>100.00000000000001</v>
      </c>
      <c r="N4" s="14">
        <f t="shared" si="0"/>
        <v>325</v>
      </c>
      <c r="O4" s="15">
        <f t="shared" si="0"/>
        <v>100</v>
      </c>
      <c r="P4" s="14">
        <f t="shared" si="0"/>
        <v>236</v>
      </c>
      <c r="Q4" s="15">
        <f t="shared" si="0"/>
        <v>99.999999999999986</v>
      </c>
      <c r="R4" s="14">
        <f t="shared" si="0"/>
        <v>301</v>
      </c>
      <c r="S4" s="15">
        <f t="shared" si="0"/>
        <v>100.00000000000001</v>
      </c>
      <c r="T4" s="50">
        <f t="shared" si="0"/>
        <v>350</v>
      </c>
      <c r="U4" s="116">
        <f t="shared" si="0"/>
        <v>100</v>
      </c>
      <c r="V4" s="56">
        <f t="shared" si="0"/>
        <v>381</v>
      </c>
      <c r="W4" s="84">
        <f t="shared" si="0"/>
        <v>100</v>
      </c>
      <c r="X4" s="56">
        <f t="shared" si="0"/>
        <v>317</v>
      </c>
      <c r="Y4" s="84">
        <f t="shared" si="0"/>
        <v>99.999999999999972</v>
      </c>
    </row>
    <row r="5" spans="1:26" ht="20.100000000000001" customHeight="1">
      <c r="A5" s="117" t="s">
        <v>326</v>
      </c>
      <c r="B5" s="14">
        <v>347</v>
      </c>
      <c r="C5" s="15">
        <f>IFERROR(B5/B$4*100,"-")</f>
        <v>91.798941798941797</v>
      </c>
      <c r="D5" s="14">
        <v>348</v>
      </c>
      <c r="E5" s="15">
        <f>IFERROR(D5/D$4*100,"-")</f>
        <v>89.690721649484544</v>
      </c>
      <c r="F5" s="14">
        <v>376</v>
      </c>
      <c r="G5" s="15">
        <f>IFERROR(F5/F$4*100,"-")</f>
        <v>91.931540342298291</v>
      </c>
      <c r="H5" s="14">
        <v>261</v>
      </c>
      <c r="I5" s="15">
        <f>IFERROR(H5/H$4*100,"-")</f>
        <v>93.548387096774192</v>
      </c>
      <c r="J5" s="14">
        <v>244</v>
      </c>
      <c r="K5" s="15">
        <f>IFERROR(J5/J$4*100,"-")</f>
        <v>93.486590038314176</v>
      </c>
      <c r="L5" s="14">
        <v>270</v>
      </c>
      <c r="M5" s="15">
        <f>IFERROR(L5/L$4*100,"-")</f>
        <v>92.150170648464169</v>
      </c>
      <c r="N5" s="14">
        <v>300</v>
      </c>
      <c r="O5" s="15">
        <f>IFERROR(N5/N$4*100,"-")</f>
        <v>92.307692307692307</v>
      </c>
      <c r="P5" s="14">
        <v>210</v>
      </c>
      <c r="Q5" s="15">
        <f>IFERROR(P5/P$4*100,"-")</f>
        <v>88.983050847457619</v>
      </c>
      <c r="R5" s="14">
        <v>284</v>
      </c>
      <c r="S5" s="15">
        <f>IFERROR(R5/R$4*100,"-")</f>
        <v>94.352159468438529</v>
      </c>
      <c r="T5" s="14">
        <v>325</v>
      </c>
      <c r="U5" s="15">
        <f>IFERROR(T5/T$4*100,"-")</f>
        <v>92.857142857142861</v>
      </c>
      <c r="V5" s="56">
        <v>354</v>
      </c>
      <c r="W5" s="84">
        <f t="shared" ref="W5:W6" si="1">IFERROR(V5/V$4*100,"-")</f>
        <v>92.913385826771659</v>
      </c>
      <c r="X5" s="56">
        <v>300</v>
      </c>
      <c r="Y5" s="84">
        <f t="shared" ref="Y5:Y36" si="2">IFERROR(X5/X$4*100,"-")</f>
        <v>94.637223974763401</v>
      </c>
    </row>
    <row r="6" spans="1:26" ht="20.100000000000001" customHeight="1">
      <c r="A6" s="118" t="s">
        <v>327</v>
      </c>
      <c r="B6" s="51">
        <v>31</v>
      </c>
      <c r="C6" s="119">
        <f t="shared" ref="C6:E6" si="3">IFERROR(B6/B$4*100,"-")</f>
        <v>8.2010582010582009</v>
      </c>
      <c r="D6" s="51">
        <v>40</v>
      </c>
      <c r="E6" s="119">
        <f t="shared" si="3"/>
        <v>10.309278350515463</v>
      </c>
      <c r="F6" s="51">
        <v>33</v>
      </c>
      <c r="G6" s="119">
        <f t="shared" ref="G6" si="4">IFERROR(F6/F$4*100,"-")</f>
        <v>8.0684596577017107</v>
      </c>
      <c r="H6" s="51">
        <v>18</v>
      </c>
      <c r="I6" s="119">
        <f t="shared" ref="I6" si="5">IFERROR(H6/H$4*100,"-")</f>
        <v>6.4516129032258061</v>
      </c>
      <c r="J6" s="51">
        <v>17</v>
      </c>
      <c r="K6" s="119">
        <f t="shared" ref="K6" si="6">IFERROR(J6/J$4*100,"-")</f>
        <v>6.5134099616858236</v>
      </c>
      <c r="L6" s="51">
        <v>23</v>
      </c>
      <c r="M6" s="119">
        <f t="shared" ref="M6" si="7">IFERROR(L6/L$4*100,"-")</f>
        <v>7.8498293515358366</v>
      </c>
      <c r="N6" s="51">
        <v>25</v>
      </c>
      <c r="O6" s="119">
        <f t="shared" ref="O6" si="8">IFERROR(N6/N$4*100,"-")</f>
        <v>7.6923076923076925</v>
      </c>
      <c r="P6" s="51">
        <v>26</v>
      </c>
      <c r="Q6" s="119">
        <f t="shared" ref="Q6" si="9">IFERROR(P6/P$4*100,"-")</f>
        <v>11.016949152542372</v>
      </c>
      <c r="R6" s="51">
        <v>17</v>
      </c>
      <c r="S6" s="119">
        <f t="shared" ref="S6" si="10">IFERROR(R6/R$4*100,"-")</f>
        <v>5.6478405315614619</v>
      </c>
      <c r="T6" s="51">
        <v>25</v>
      </c>
      <c r="U6" s="119">
        <f t="shared" ref="U6" si="11">IFERROR(T6/T$4*100,"-")</f>
        <v>7.1428571428571423</v>
      </c>
      <c r="V6" s="91">
        <v>27</v>
      </c>
      <c r="W6" s="92">
        <f t="shared" si="1"/>
        <v>7.0866141732283463</v>
      </c>
      <c r="X6" s="91">
        <v>17</v>
      </c>
      <c r="Y6" s="92">
        <f t="shared" si="2"/>
        <v>5.3627760252365935</v>
      </c>
    </row>
    <row r="7" spans="1:26" ht="20.100000000000001" customHeight="1">
      <c r="A7" s="120" t="s">
        <v>328</v>
      </c>
      <c r="B7" s="121">
        <v>221</v>
      </c>
      <c r="C7" s="15">
        <f t="shared" ref="C7:C37" si="12">IFERROR(B7/B$4*100,"-")</f>
        <v>58.465608465608469</v>
      </c>
      <c r="D7" s="121">
        <v>220</v>
      </c>
      <c r="E7" s="15">
        <f t="shared" ref="E7:E37" si="13">IFERROR(D7/D$4*100,"-")</f>
        <v>56.701030927835049</v>
      </c>
      <c r="F7" s="121">
        <v>225</v>
      </c>
      <c r="G7" s="15">
        <f t="shared" ref="G7:G19" si="14">IFERROR(F7/F$4*100,"-")</f>
        <v>55.012224938875306</v>
      </c>
      <c r="H7" s="121">
        <v>129</v>
      </c>
      <c r="I7" s="15">
        <f t="shared" ref="I7:I19" si="15">IFERROR(H7/H$4*100,"-")</f>
        <v>46.236559139784944</v>
      </c>
      <c r="J7" s="121">
        <v>152</v>
      </c>
      <c r="K7" s="15">
        <f t="shared" ref="K7:K19" si="16">IFERROR(J7/J$4*100,"-")</f>
        <v>58.237547892720308</v>
      </c>
      <c r="L7" s="121">
        <v>139</v>
      </c>
      <c r="M7" s="15">
        <f t="shared" ref="M7:M19" si="17">IFERROR(L7/L$4*100,"-")</f>
        <v>47.44027303754266</v>
      </c>
      <c r="N7" s="121">
        <v>182</v>
      </c>
      <c r="O7" s="15">
        <f t="shared" ref="O7:O19" si="18">IFERROR(N7/N$4*100,"-")</f>
        <v>56.000000000000007</v>
      </c>
      <c r="P7" s="121">
        <v>148</v>
      </c>
      <c r="Q7" s="15">
        <f t="shared" ref="Q7:Q19" si="19">IFERROR(P7/P$4*100,"-")</f>
        <v>62.711864406779661</v>
      </c>
      <c r="R7" s="14">
        <v>161</v>
      </c>
      <c r="S7" s="15">
        <f t="shared" ref="S7:S19" si="20">IFERROR(R7/R$4*100,"-")</f>
        <v>53.488372093023251</v>
      </c>
      <c r="T7" s="122">
        <v>211</v>
      </c>
      <c r="U7" s="15">
        <f t="shared" ref="U7:U19" si="21">IFERROR(T7/T$4*100,"-")</f>
        <v>60.285714285714285</v>
      </c>
      <c r="V7" s="57">
        <v>236</v>
      </c>
      <c r="W7" s="84">
        <f t="shared" ref="W7:W17" si="22">IFERROR(V7/V$4*100,"-")</f>
        <v>61.942257217847775</v>
      </c>
      <c r="X7" s="57">
        <f>153+11</f>
        <v>164</v>
      </c>
      <c r="Y7" s="99">
        <f t="shared" si="2"/>
        <v>51.735015772870661</v>
      </c>
    </row>
    <row r="8" spans="1:26" ht="20.100000000000001" customHeight="1">
      <c r="A8" s="210" t="s">
        <v>229</v>
      </c>
      <c r="B8" s="14" t="s">
        <v>49</v>
      </c>
      <c r="C8" s="15" t="str">
        <f t="shared" si="12"/>
        <v>-</v>
      </c>
      <c r="D8" s="14" t="s">
        <v>49</v>
      </c>
      <c r="E8" s="15" t="str">
        <f t="shared" si="13"/>
        <v>-</v>
      </c>
      <c r="F8" s="14">
        <v>2</v>
      </c>
      <c r="G8" s="15">
        <f t="shared" si="14"/>
        <v>0.48899755501222492</v>
      </c>
      <c r="H8" s="14">
        <v>1</v>
      </c>
      <c r="I8" s="15">
        <f t="shared" si="15"/>
        <v>0.35842293906810035</v>
      </c>
      <c r="J8" s="14" t="s">
        <v>49</v>
      </c>
      <c r="K8" s="15" t="str">
        <f t="shared" si="16"/>
        <v>-</v>
      </c>
      <c r="L8" s="14">
        <v>1</v>
      </c>
      <c r="M8" s="15">
        <f t="shared" si="17"/>
        <v>0.34129692832764508</v>
      </c>
      <c r="N8" s="14">
        <v>7</v>
      </c>
      <c r="O8" s="15">
        <f t="shared" si="18"/>
        <v>2.1538461538461537</v>
      </c>
      <c r="P8" s="14">
        <v>5</v>
      </c>
      <c r="Q8" s="15">
        <f t="shared" si="19"/>
        <v>2.1186440677966099</v>
      </c>
      <c r="R8" s="14">
        <v>9</v>
      </c>
      <c r="S8" s="15">
        <f t="shared" si="20"/>
        <v>2.9900332225913622</v>
      </c>
      <c r="T8" s="122">
        <v>22</v>
      </c>
      <c r="U8" s="15">
        <f t="shared" si="21"/>
        <v>6.2857142857142865</v>
      </c>
      <c r="V8" s="56">
        <v>23</v>
      </c>
      <c r="W8" s="84">
        <f t="shared" si="22"/>
        <v>6.0367454068241466</v>
      </c>
      <c r="X8" s="57">
        <v>41</v>
      </c>
      <c r="Y8" s="99">
        <f t="shared" si="2"/>
        <v>12.933753943217665</v>
      </c>
    </row>
    <row r="9" spans="1:26" ht="20.100000000000001" customHeight="1">
      <c r="A9" s="120" t="s">
        <v>329</v>
      </c>
      <c r="B9" s="14">
        <v>64</v>
      </c>
      <c r="C9" s="15">
        <f t="shared" si="12"/>
        <v>16.93121693121693</v>
      </c>
      <c r="D9" s="14">
        <v>50</v>
      </c>
      <c r="E9" s="15">
        <f t="shared" si="13"/>
        <v>12.886597938144329</v>
      </c>
      <c r="F9" s="14">
        <v>68</v>
      </c>
      <c r="G9" s="15">
        <f t="shared" si="14"/>
        <v>16.625916870415647</v>
      </c>
      <c r="H9" s="14">
        <v>45</v>
      </c>
      <c r="I9" s="15">
        <f t="shared" si="15"/>
        <v>16.129032258064516</v>
      </c>
      <c r="J9" s="14">
        <v>38</v>
      </c>
      <c r="K9" s="15">
        <f t="shared" si="16"/>
        <v>14.559386973180077</v>
      </c>
      <c r="L9" s="14">
        <v>43</v>
      </c>
      <c r="M9" s="15">
        <f t="shared" si="17"/>
        <v>14.675767918088736</v>
      </c>
      <c r="N9" s="14">
        <v>37</v>
      </c>
      <c r="O9" s="15">
        <f t="shared" si="18"/>
        <v>11.384615384615385</v>
      </c>
      <c r="P9" s="14">
        <v>25</v>
      </c>
      <c r="Q9" s="15">
        <f t="shared" si="19"/>
        <v>10.59322033898305</v>
      </c>
      <c r="R9" s="14">
        <v>39</v>
      </c>
      <c r="S9" s="15">
        <f t="shared" si="20"/>
        <v>12.956810631229235</v>
      </c>
      <c r="T9" s="122">
        <v>42</v>
      </c>
      <c r="U9" s="15">
        <f t="shared" si="21"/>
        <v>12</v>
      </c>
      <c r="V9" s="56">
        <v>33</v>
      </c>
      <c r="W9" s="84">
        <f t="shared" si="22"/>
        <v>8.6614173228346463</v>
      </c>
      <c r="X9" s="57">
        <v>35</v>
      </c>
      <c r="Y9" s="99">
        <f t="shared" si="2"/>
        <v>11.041009463722396</v>
      </c>
    </row>
    <row r="10" spans="1:26" ht="20.100000000000001" customHeight="1">
      <c r="A10" s="120" t="s">
        <v>331</v>
      </c>
      <c r="B10" s="14">
        <v>21</v>
      </c>
      <c r="C10" s="15">
        <f t="shared" si="12"/>
        <v>5.5555555555555554</v>
      </c>
      <c r="D10" s="14">
        <v>22</v>
      </c>
      <c r="E10" s="15">
        <f t="shared" si="13"/>
        <v>5.6701030927835054</v>
      </c>
      <c r="F10" s="14">
        <v>23</v>
      </c>
      <c r="G10" s="15">
        <f t="shared" si="14"/>
        <v>5.6234718826405867</v>
      </c>
      <c r="H10" s="14">
        <v>37</v>
      </c>
      <c r="I10" s="15">
        <f t="shared" si="15"/>
        <v>13.261648745519713</v>
      </c>
      <c r="J10" s="14">
        <v>14</v>
      </c>
      <c r="K10" s="15">
        <f t="shared" si="16"/>
        <v>5.3639846743295019</v>
      </c>
      <c r="L10" s="14">
        <v>15</v>
      </c>
      <c r="M10" s="15">
        <f t="shared" si="17"/>
        <v>5.1194539249146755</v>
      </c>
      <c r="N10" s="14">
        <v>18</v>
      </c>
      <c r="O10" s="15">
        <f t="shared" si="18"/>
        <v>5.5384615384615383</v>
      </c>
      <c r="P10" s="14">
        <v>13</v>
      </c>
      <c r="Q10" s="15">
        <f t="shared" si="19"/>
        <v>5.508474576271186</v>
      </c>
      <c r="R10" s="14">
        <v>18</v>
      </c>
      <c r="S10" s="15">
        <f t="shared" si="20"/>
        <v>5.9800664451827243</v>
      </c>
      <c r="T10" s="122">
        <v>14</v>
      </c>
      <c r="U10" s="15">
        <f t="shared" si="21"/>
        <v>4</v>
      </c>
      <c r="V10" s="56">
        <v>24</v>
      </c>
      <c r="W10" s="84">
        <f t="shared" si="22"/>
        <v>6.2992125984251963</v>
      </c>
      <c r="X10" s="57">
        <v>13</v>
      </c>
      <c r="Y10" s="99">
        <f t="shared" si="2"/>
        <v>4.1009463722397479</v>
      </c>
    </row>
    <row r="11" spans="1:26" ht="20.100000000000001" customHeight="1">
      <c r="A11" s="120" t="s">
        <v>330</v>
      </c>
      <c r="B11" s="14">
        <v>36</v>
      </c>
      <c r="C11" s="15">
        <f t="shared" si="12"/>
        <v>9.5238095238095237</v>
      </c>
      <c r="D11" s="14">
        <v>47</v>
      </c>
      <c r="E11" s="15">
        <f t="shared" si="13"/>
        <v>12.11340206185567</v>
      </c>
      <c r="F11" s="14">
        <v>47</v>
      </c>
      <c r="G11" s="15">
        <f t="shared" si="14"/>
        <v>11.491442542787286</v>
      </c>
      <c r="H11" s="14">
        <v>36</v>
      </c>
      <c r="I11" s="15">
        <f t="shared" si="15"/>
        <v>12.903225806451612</v>
      </c>
      <c r="J11" s="14">
        <v>16</v>
      </c>
      <c r="K11" s="15">
        <f t="shared" si="16"/>
        <v>6.1302681992337158</v>
      </c>
      <c r="L11" s="14">
        <v>30</v>
      </c>
      <c r="M11" s="15">
        <f t="shared" si="17"/>
        <v>10.238907849829351</v>
      </c>
      <c r="N11" s="14">
        <v>18</v>
      </c>
      <c r="O11" s="15">
        <f t="shared" si="18"/>
        <v>5.5384615384615383</v>
      </c>
      <c r="P11" s="14">
        <v>5</v>
      </c>
      <c r="Q11" s="15">
        <f t="shared" si="19"/>
        <v>2.1186440677966099</v>
      </c>
      <c r="R11" s="14">
        <v>21</v>
      </c>
      <c r="S11" s="15">
        <f t="shared" si="20"/>
        <v>6.9767441860465116</v>
      </c>
      <c r="T11" s="122">
        <v>14</v>
      </c>
      <c r="U11" s="15">
        <f t="shared" si="21"/>
        <v>4</v>
      </c>
      <c r="V11" s="56">
        <v>22</v>
      </c>
      <c r="W11" s="84">
        <f t="shared" si="22"/>
        <v>5.7742782152230969</v>
      </c>
      <c r="X11" s="57">
        <v>12</v>
      </c>
      <c r="Y11" s="99">
        <f t="shared" si="2"/>
        <v>3.7854889589905363</v>
      </c>
    </row>
    <row r="12" spans="1:26" ht="20.100000000000001" customHeight="1">
      <c r="A12" s="120" t="s">
        <v>333</v>
      </c>
      <c r="B12" s="14">
        <v>3</v>
      </c>
      <c r="C12" s="15">
        <f t="shared" si="12"/>
        <v>0.79365079365079361</v>
      </c>
      <c r="D12" s="14">
        <v>3</v>
      </c>
      <c r="E12" s="15">
        <f t="shared" si="13"/>
        <v>0.77319587628865982</v>
      </c>
      <c r="F12" s="14">
        <v>3</v>
      </c>
      <c r="G12" s="15">
        <f t="shared" si="14"/>
        <v>0.73349633251833746</v>
      </c>
      <c r="H12" s="14">
        <v>2</v>
      </c>
      <c r="I12" s="15">
        <f t="shared" si="15"/>
        <v>0.71684587813620071</v>
      </c>
      <c r="J12" s="14">
        <v>3</v>
      </c>
      <c r="K12" s="15">
        <f t="shared" si="16"/>
        <v>1.1494252873563218</v>
      </c>
      <c r="L12" s="14">
        <v>7</v>
      </c>
      <c r="M12" s="15">
        <f t="shared" si="17"/>
        <v>2.3890784982935154</v>
      </c>
      <c r="N12" s="14">
        <v>8</v>
      </c>
      <c r="O12" s="15">
        <f t="shared" si="18"/>
        <v>2.4615384615384617</v>
      </c>
      <c r="P12" s="14">
        <v>7</v>
      </c>
      <c r="Q12" s="15">
        <f t="shared" si="19"/>
        <v>2.9661016949152543</v>
      </c>
      <c r="R12" s="14">
        <v>12</v>
      </c>
      <c r="S12" s="15">
        <f t="shared" si="20"/>
        <v>3.9867109634551494</v>
      </c>
      <c r="T12" s="122">
        <v>13</v>
      </c>
      <c r="U12" s="15">
        <f t="shared" si="21"/>
        <v>3.7142857142857144</v>
      </c>
      <c r="V12" s="56">
        <v>13</v>
      </c>
      <c r="W12" s="84">
        <f t="shared" si="22"/>
        <v>3.4120734908136483</v>
      </c>
      <c r="X12" s="57">
        <v>12</v>
      </c>
      <c r="Y12" s="99">
        <f t="shared" si="2"/>
        <v>3.7854889589905363</v>
      </c>
    </row>
    <row r="13" spans="1:26" ht="20.100000000000001" customHeight="1">
      <c r="A13" s="120" t="s">
        <v>332</v>
      </c>
      <c r="B13" s="14">
        <v>17</v>
      </c>
      <c r="C13" s="15">
        <f t="shared" si="12"/>
        <v>4.4973544973544968</v>
      </c>
      <c r="D13" s="14">
        <v>23</v>
      </c>
      <c r="E13" s="15">
        <f t="shared" si="13"/>
        <v>5.9278350515463911</v>
      </c>
      <c r="F13" s="14">
        <v>19</v>
      </c>
      <c r="G13" s="15">
        <f t="shared" si="14"/>
        <v>4.6454767726161368</v>
      </c>
      <c r="H13" s="14">
        <v>12</v>
      </c>
      <c r="I13" s="15">
        <f t="shared" si="15"/>
        <v>4.3010752688172049</v>
      </c>
      <c r="J13" s="14">
        <v>12</v>
      </c>
      <c r="K13" s="15">
        <f t="shared" si="16"/>
        <v>4.5977011494252871</v>
      </c>
      <c r="L13" s="14">
        <v>21</v>
      </c>
      <c r="M13" s="15">
        <f t="shared" si="17"/>
        <v>7.1672354948805461</v>
      </c>
      <c r="N13" s="14">
        <v>13</v>
      </c>
      <c r="O13" s="15">
        <f t="shared" si="18"/>
        <v>4</v>
      </c>
      <c r="P13" s="14">
        <v>6</v>
      </c>
      <c r="Q13" s="15">
        <f t="shared" si="19"/>
        <v>2.5423728813559325</v>
      </c>
      <c r="R13" s="14">
        <v>5</v>
      </c>
      <c r="S13" s="15">
        <f t="shared" si="20"/>
        <v>1.6611295681063125</v>
      </c>
      <c r="T13" s="122">
        <v>13</v>
      </c>
      <c r="U13" s="15">
        <f t="shared" si="21"/>
        <v>3.7142857142857144</v>
      </c>
      <c r="V13" s="56">
        <v>10</v>
      </c>
      <c r="W13" s="84">
        <f t="shared" si="22"/>
        <v>2.6246719160104988</v>
      </c>
      <c r="X13" s="57">
        <v>12</v>
      </c>
      <c r="Y13" s="99">
        <f t="shared" si="2"/>
        <v>3.7854889589905363</v>
      </c>
    </row>
    <row r="14" spans="1:26" ht="20.100000000000001" customHeight="1">
      <c r="A14" s="120" t="s">
        <v>335</v>
      </c>
      <c r="B14" s="14">
        <v>5</v>
      </c>
      <c r="C14" s="15">
        <f t="shared" si="12"/>
        <v>1.3227513227513228</v>
      </c>
      <c r="D14" s="14">
        <v>4</v>
      </c>
      <c r="E14" s="15">
        <f t="shared" si="13"/>
        <v>1.0309278350515463</v>
      </c>
      <c r="F14" s="14">
        <v>2</v>
      </c>
      <c r="G14" s="15">
        <f t="shared" si="14"/>
        <v>0.48899755501222492</v>
      </c>
      <c r="H14" s="14">
        <v>2</v>
      </c>
      <c r="I14" s="15">
        <f t="shared" si="15"/>
        <v>0.71684587813620071</v>
      </c>
      <c r="J14" s="14">
        <v>3</v>
      </c>
      <c r="K14" s="15">
        <f t="shared" si="16"/>
        <v>1.1494252873563218</v>
      </c>
      <c r="L14" s="14">
        <v>1</v>
      </c>
      <c r="M14" s="15">
        <f t="shared" si="17"/>
        <v>0.34129692832764508</v>
      </c>
      <c r="N14" s="14">
        <v>7</v>
      </c>
      <c r="O14" s="15">
        <f t="shared" si="18"/>
        <v>2.1538461538461537</v>
      </c>
      <c r="P14" s="14">
        <v>5</v>
      </c>
      <c r="Q14" s="15">
        <f t="shared" si="19"/>
        <v>2.1186440677966099</v>
      </c>
      <c r="R14" s="14">
        <v>5</v>
      </c>
      <c r="S14" s="15">
        <f t="shared" si="20"/>
        <v>1.6611295681063125</v>
      </c>
      <c r="T14" s="122">
        <v>4</v>
      </c>
      <c r="U14" s="15">
        <f t="shared" si="21"/>
        <v>1.1428571428571428</v>
      </c>
      <c r="V14" s="56">
        <v>7</v>
      </c>
      <c r="W14" s="84">
        <f t="shared" si="22"/>
        <v>1.837270341207349</v>
      </c>
      <c r="X14" s="57">
        <v>5</v>
      </c>
      <c r="Y14" s="99">
        <f t="shared" si="2"/>
        <v>1.5772870662460567</v>
      </c>
    </row>
    <row r="15" spans="1:26" ht="20.100000000000001" customHeight="1">
      <c r="A15" s="120" t="s">
        <v>336</v>
      </c>
      <c r="B15" s="14">
        <v>2</v>
      </c>
      <c r="C15" s="15">
        <f t="shared" si="12"/>
        <v>0.52910052910052907</v>
      </c>
      <c r="D15" s="14">
        <v>4</v>
      </c>
      <c r="E15" s="15">
        <f t="shared" si="13"/>
        <v>1.0309278350515463</v>
      </c>
      <c r="F15" s="14">
        <v>1</v>
      </c>
      <c r="G15" s="15">
        <f t="shared" si="14"/>
        <v>0.24449877750611246</v>
      </c>
      <c r="H15" s="14">
        <v>3</v>
      </c>
      <c r="I15" s="15">
        <f t="shared" si="15"/>
        <v>1.0752688172043012</v>
      </c>
      <c r="J15" s="14">
        <v>1</v>
      </c>
      <c r="K15" s="15">
        <f t="shared" si="16"/>
        <v>0.38314176245210724</v>
      </c>
      <c r="L15" s="14">
        <v>1</v>
      </c>
      <c r="M15" s="15">
        <f t="shared" si="17"/>
        <v>0.34129692832764508</v>
      </c>
      <c r="N15" s="14">
        <v>3</v>
      </c>
      <c r="O15" s="15">
        <f t="shared" si="18"/>
        <v>0.92307692307692313</v>
      </c>
      <c r="P15" s="14">
        <v>3</v>
      </c>
      <c r="Q15" s="15">
        <f t="shared" si="19"/>
        <v>1.2711864406779663</v>
      </c>
      <c r="R15" s="14">
        <v>5</v>
      </c>
      <c r="S15" s="15">
        <f t="shared" si="20"/>
        <v>1.6611295681063125</v>
      </c>
      <c r="T15" s="122">
        <v>4</v>
      </c>
      <c r="U15" s="15">
        <f t="shared" si="21"/>
        <v>1.1428571428571428</v>
      </c>
      <c r="V15" s="56">
        <v>5</v>
      </c>
      <c r="W15" s="84">
        <f t="shared" si="22"/>
        <v>1.3123359580052494</v>
      </c>
      <c r="X15" s="57">
        <v>3</v>
      </c>
      <c r="Y15" s="99">
        <f t="shared" si="2"/>
        <v>0.94637223974763407</v>
      </c>
    </row>
    <row r="16" spans="1:26" ht="20.100000000000001" customHeight="1">
      <c r="A16" s="120" t="s">
        <v>337</v>
      </c>
      <c r="B16" s="14" t="s">
        <v>49</v>
      </c>
      <c r="C16" s="15" t="str">
        <f t="shared" si="12"/>
        <v>-</v>
      </c>
      <c r="D16" s="14">
        <v>5</v>
      </c>
      <c r="E16" s="15">
        <f t="shared" si="13"/>
        <v>1.2886597938144329</v>
      </c>
      <c r="F16" s="14">
        <v>2</v>
      </c>
      <c r="G16" s="15">
        <f t="shared" si="14"/>
        <v>0.48899755501222492</v>
      </c>
      <c r="H16" s="14">
        <v>8</v>
      </c>
      <c r="I16" s="15">
        <f t="shared" si="15"/>
        <v>2.8673835125448028</v>
      </c>
      <c r="J16" s="14">
        <v>13</v>
      </c>
      <c r="K16" s="15">
        <f t="shared" si="16"/>
        <v>4.980842911877394</v>
      </c>
      <c r="L16" s="14">
        <v>27</v>
      </c>
      <c r="M16" s="15">
        <f t="shared" si="17"/>
        <v>9.2150170648464158</v>
      </c>
      <c r="N16" s="14">
        <v>28</v>
      </c>
      <c r="O16" s="15">
        <f t="shared" si="18"/>
        <v>8.615384615384615</v>
      </c>
      <c r="P16" s="14">
        <v>11</v>
      </c>
      <c r="Q16" s="15">
        <f t="shared" si="19"/>
        <v>4.6610169491525424</v>
      </c>
      <c r="R16" s="14">
        <v>10</v>
      </c>
      <c r="S16" s="15">
        <f t="shared" si="20"/>
        <v>3.322259136212625</v>
      </c>
      <c r="T16" s="122">
        <v>3</v>
      </c>
      <c r="U16" s="15">
        <f t="shared" si="21"/>
        <v>0.85714285714285721</v>
      </c>
      <c r="V16" s="56">
        <v>4</v>
      </c>
      <c r="W16" s="84">
        <f t="shared" si="22"/>
        <v>1.0498687664041995</v>
      </c>
      <c r="X16" s="57">
        <v>3</v>
      </c>
      <c r="Y16" s="99">
        <f t="shared" si="2"/>
        <v>0.94637223974763407</v>
      </c>
    </row>
    <row r="17" spans="1:25" ht="20.100000000000001" hidden="1" customHeight="1">
      <c r="A17" s="120" t="s">
        <v>345</v>
      </c>
      <c r="B17" s="14">
        <v>1</v>
      </c>
      <c r="C17" s="15">
        <f t="shared" si="12"/>
        <v>0.26455026455026454</v>
      </c>
      <c r="D17" s="14" t="s">
        <v>49</v>
      </c>
      <c r="E17" s="15" t="str">
        <f t="shared" si="13"/>
        <v>-</v>
      </c>
      <c r="F17" s="14" t="s">
        <v>49</v>
      </c>
      <c r="G17" s="15" t="str">
        <f t="shared" si="14"/>
        <v>-</v>
      </c>
      <c r="H17" s="14" t="s">
        <v>49</v>
      </c>
      <c r="I17" s="15" t="str">
        <f t="shared" si="15"/>
        <v>-</v>
      </c>
      <c r="J17" s="14" t="s">
        <v>49</v>
      </c>
      <c r="K17" s="15" t="str">
        <f t="shared" si="16"/>
        <v>-</v>
      </c>
      <c r="L17" s="14" t="s">
        <v>49</v>
      </c>
      <c r="M17" s="15" t="str">
        <f t="shared" si="17"/>
        <v>-</v>
      </c>
      <c r="N17" s="14" t="s">
        <v>49</v>
      </c>
      <c r="O17" s="15" t="str">
        <f t="shared" si="18"/>
        <v>-</v>
      </c>
      <c r="P17" s="14" t="s">
        <v>49</v>
      </c>
      <c r="Q17" s="15" t="str">
        <f t="shared" si="19"/>
        <v>-</v>
      </c>
      <c r="R17" s="14" t="s">
        <v>49</v>
      </c>
      <c r="S17" s="15" t="str">
        <f t="shared" si="20"/>
        <v>-</v>
      </c>
      <c r="T17" s="124" t="s">
        <v>49</v>
      </c>
      <c r="U17" s="15" t="str">
        <f t="shared" si="21"/>
        <v>-</v>
      </c>
      <c r="V17" s="123">
        <v>0</v>
      </c>
      <c r="W17" s="123">
        <f t="shared" si="22"/>
        <v>0</v>
      </c>
      <c r="X17" s="57"/>
      <c r="Y17" s="99">
        <f t="shared" si="2"/>
        <v>0</v>
      </c>
    </row>
    <row r="18" spans="1:25" ht="20.100000000000001" customHeight="1">
      <c r="A18" s="120" t="s">
        <v>338</v>
      </c>
      <c r="B18" s="14">
        <v>1</v>
      </c>
      <c r="C18" s="15">
        <f t="shared" si="12"/>
        <v>0.26455026455026454</v>
      </c>
      <c r="D18" s="14">
        <v>2</v>
      </c>
      <c r="E18" s="15">
        <f t="shared" si="13"/>
        <v>0.51546391752577314</v>
      </c>
      <c r="F18" s="14">
        <v>1</v>
      </c>
      <c r="G18" s="15">
        <f t="shared" si="14"/>
        <v>0.24449877750611246</v>
      </c>
      <c r="H18" s="14">
        <v>1</v>
      </c>
      <c r="I18" s="15">
        <f t="shared" si="15"/>
        <v>0.35842293906810035</v>
      </c>
      <c r="J18" s="14">
        <v>5</v>
      </c>
      <c r="K18" s="15">
        <f t="shared" si="16"/>
        <v>1.9157088122605364</v>
      </c>
      <c r="L18" s="14">
        <v>1</v>
      </c>
      <c r="M18" s="15">
        <f t="shared" si="17"/>
        <v>0.34129692832764508</v>
      </c>
      <c r="N18" s="14">
        <v>1</v>
      </c>
      <c r="O18" s="15">
        <f t="shared" si="18"/>
        <v>0.30769230769230771</v>
      </c>
      <c r="P18" s="14">
        <v>3</v>
      </c>
      <c r="Q18" s="15">
        <f t="shared" si="19"/>
        <v>1.2711864406779663</v>
      </c>
      <c r="R18" s="14">
        <v>2</v>
      </c>
      <c r="S18" s="15">
        <f t="shared" si="20"/>
        <v>0.66445182724252494</v>
      </c>
      <c r="T18" s="122">
        <v>1</v>
      </c>
      <c r="U18" s="15">
        <f t="shared" si="21"/>
        <v>0.2857142857142857</v>
      </c>
      <c r="V18" s="123">
        <v>0</v>
      </c>
      <c r="W18" s="123">
        <v>0</v>
      </c>
      <c r="X18" s="57">
        <v>3</v>
      </c>
      <c r="Y18" s="99">
        <f t="shared" si="2"/>
        <v>0.94637223974763407</v>
      </c>
    </row>
    <row r="19" spans="1:25" ht="20.100000000000001" customHeight="1">
      <c r="A19" s="120" t="s">
        <v>344</v>
      </c>
      <c r="B19" s="14">
        <v>1</v>
      </c>
      <c r="C19" s="15">
        <f t="shared" si="12"/>
        <v>0.26455026455026454</v>
      </c>
      <c r="D19" s="14">
        <v>1</v>
      </c>
      <c r="E19" s="15">
        <f t="shared" si="13"/>
        <v>0.25773195876288657</v>
      </c>
      <c r="F19" s="14">
        <v>1</v>
      </c>
      <c r="G19" s="15">
        <f t="shared" si="14"/>
        <v>0.24449877750611246</v>
      </c>
      <c r="H19" s="14" t="s">
        <v>49</v>
      </c>
      <c r="I19" s="15" t="str">
        <f t="shared" si="15"/>
        <v>-</v>
      </c>
      <c r="J19" s="14">
        <v>2</v>
      </c>
      <c r="K19" s="15">
        <f t="shared" si="16"/>
        <v>0.76628352490421447</v>
      </c>
      <c r="L19" s="14" t="s">
        <v>49</v>
      </c>
      <c r="M19" s="15" t="str">
        <f t="shared" si="17"/>
        <v>-</v>
      </c>
      <c r="N19" s="14" t="s">
        <v>49</v>
      </c>
      <c r="O19" s="15" t="str">
        <f t="shared" si="18"/>
        <v>-</v>
      </c>
      <c r="P19" s="14" t="s">
        <v>49</v>
      </c>
      <c r="Q19" s="15" t="str">
        <f t="shared" si="19"/>
        <v>-</v>
      </c>
      <c r="R19" s="14" t="s">
        <v>49</v>
      </c>
      <c r="S19" s="15" t="str">
        <f t="shared" si="20"/>
        <v>-</v>
      </c>
      <c r="T19" s="124" t="s">
        <v>49</v>
      </c>
      <c r="U19" s="15" t="str">
        <f t="shared" si="21"/>
        <v>-</v>
      </c>
      <c r="V19" s="123">
        <v>0</v>
      </c>
      <c r="W19" s="123">
        <v>0</v>
      </c>
      <c r="X19" s="57">
        <v>3</v>
      </c>
      <c r="Y19" s="99">
        <f t="shared" si="2"/>
        <v>0.94637223974763407</v>
      </c>
    </row>
    <row r="20" spans="1:25" ht="20.100000000000001" customHeight="1">
      <c r="A20" s="120" t="s">
        <v>638</v>
      </c>
      <c r="B20" s="14" t="s">
        <v>49</v>
      </c>
      <c r="C20" s="15" t="str">
        <f t="shared" si="12"/>
        <v>-</v>
      </c>
      <c r="D20" s="15" t="str">
        <f>IFERROR(C20/C$4*100,"-")</f>
        <v>-</v>
      </c>
      <c r="E20" s="15" t="str">
        <f t="shared" si="13"/>
        <v>-</v>
      </c>
      <c r="F20" s="14" t="s">
        <v>49</v>
      </c>
      <c r="G20" s="14" t="s">
        <v>49</v>
      </c>
      <c r="H20" s="14" t="s">
        <v>49</v>
      </c>
      <c r="I20" s="14" t="s">
        <v>49</v>
      </c>
      <c r="J20" s="14" t="s">
        <v>49</v>
      </c>
      <c r="K20" s="14" t="s">
        <v>49</v>
      </c>
      <c r="L20" s="14" t="s">
        <v>49</v>
      </c>
      <c r="M20" s="14" t="s">
        <v>49</v>
      </c>
      <c r="N20" s="14" t="s">
        <v>49</v>
      </c>
      <c r="O20" s="14" t="s">
        <v>49</v>
      </c>
      <c r="P20" s="14" t="s">
        <v>49</v>
      </c>
      <c r="Q20" s="14" t="s">
        <v>49</v>
      </c>
      <c r="R20" s="14" t="s">
        <v>49</v>
      </c>
      <c r="S20" s="14" t="s">
        <v>49</v>
      </c>
      <c r="T20" s="14" t="s">
        <v>49</v>
      </c>
      <c r="U20" s="14" t="s">
        <v>49</v>
      </c>
      <c r="V20" s="123">
        <v>0</v>
      </c>
      <c r="W20" s="123">
        <v>0</v>
      </c>
      <c r="X20" s="57">
        <v>3</v>
      </c>
      <c r="Y20" s="99">
        <f t="shared" si="2"/>
        <v>0.94637223974763407</v>
      </c>
    </row>
    <row r="21" spans="1:25" ht="20.100000000000001" customHeight="1">
      <c r="A21" s="120" t="s">
        <v>637</v>
      </c>
      <c r="B21" s="14" t="s">
        <v>49</v>
      </c>
      <c r="C21" s="15" t="str">
        <f t="shared" si="12"/>
        <v>-</v>
      </c>
      <c r="D21" s="15" t="str">
        <f>IFERROR(C21/C$4*100,"-")</f>
        <v>-</v>
      </c>
      <c r="E21" s="15" t="str">
        <f t="shared" si="13"/>
        <v>-</v>
      </c>
      <c r="F21" s="14" t="s">
        <v>49</v>
      </c>
      <c r="G21" s="14" t="s">
        <v>49</v>
      </c>
      <c r="H21" s="14" t="s">
        <v>49</v>
      </c>
      <c r="I21" s="14" t="s">
        <v>49</v>
      </c>
      <c r="J21" s="14" t="s">
        <v>49</v>
      </c>
      <c r="K21" s="14" t="s">
        <v>49</v>
      </c>
      <c r="L21" s="14" t="s">
        <v>49</v>
      </c>
      <c r="M21" s="14" t="s">
        <v>49</v>
      </c>
      <c r="N21" s="14" t="s">
        <v>49</v>
      </c>
      <c r="O21" s="14" t="s">
        <v>49</v>
      </c>
      <c r="P21" s="14" t="s">
        <v>49</v>
      </c>
      <c r="Q21" s="14" t="s">
        <v>49</v>
      </c>
      <c r="R21" s="14" t="s">
        <v>49</v>
      </c>
      <c r="S21" s="14" t="s">
        <v>49</v>
      </c>
      <c r="T21" s="14" t="s">
        <v>49</v>
      </c>
      <c r="U21" s="14" t="s">
        <v>49</v>
      </c>
      <c r="V21" s="123">
        <v>0</v>
      </c>
      <c r="W21" s="123">
        <v>0</v>
      </c>
      <c r="X21" s="57">
        <v>2</v>
      </c>
      <c r="Y21" s="99">
        <f t="shared" si="2"/>
        <v>0.63091482649842268</v>
      </c>
    </row>
    <row r="22" spans="1:25" ht="20.100000000000001" customHeight="1">
      <c r="A22" s="120" t="s">
        <v>639</v>
      </c>
      <c r="B22" s="14" t="s">
        <v>49</v>
      </c>
      <c r="C22" s="15" t="str">
        <f t="shared" si="12"/>
        <v>-</v>
      </c>
      <c r="D22" s="15" t="str">
        <f>IFERROR(C22/C$4*100,"-")</f>
        <v>-</v>
      </c>
      <c r="E22" s="15" t="str">
        <f t="shared" si="13"/>
        <v>-</v>
      </c>
      <c r="F22" s="14" t="s">
        <v>49</v>
      </c>
      <c r="G22" s="14" t="s">
        <v>49</v>
      </c>
      <c r="H22" s="14" t="s">
        <v>49</v>
      </c>
      <c r="I22" s="14" t="s">
        <v>49</v>
      </c>
      <c r="J22" s="14" t="s">
        <v>49</v>
      </c>
      <c r="K22" s="14" t="s">
        <v>49</v>
      </c>
      <c r="L22" s="14" t="s">
        <v>49</v>
      </c>
      <c r="M22" s="14" t="s">
        <v>49</v>
      </c>
      <c r="N22" s="14" t="s">
        <v>49</v>
      </c>
      <c r="O22" s="14" t="s">
        <v>49</v>
      </c>
      <c r="P22" s="14" t="s">
        <v>49</v>
      </c>
      <c r="Q22" s="14" t="s">
        <v>49</v>
      </c>
      <c r="R22" s="14" t="s">
        <v>49</v>
      </c>
      <c r="S22" s="14" t="s">
        <v>49</v>
      </c>
      <c r="T22" s="14" t="s">
        <v>49</v>
      </c>
      <c r="U22" s="14" t="s">
        <v>49</v>
      </c>
      <c r="V22" s="123">
        <v>0</v>
      </c>
      <c r="W22" s="123">
        <v>0</v>
      </c>
      <c r="X22" s="57">
        <v>2</v>
      </c>
      <c r="Y22" s="99">
        <f t="shared" si="2"/>
        <v>0.63091482649842268</v>
      </c>
    </row>
    <row r="23" spans="1:25" ht="20.100000000000001" customHeight="1">
      <c r="A23" s="120" t="s">
        <v>334</v>
      </c>
      <c r="B23" s="14">
        <v>5</v>
      </c>
      <c r="C23" s="15">
        <f t="shared" si="12"/>
        <v>1.3227513227513228</v>
      </c>
      <c r="D23" s="14">
        <v>1</v>
      </c>
      <c r="E23" s="15">
        <f t="shared" si="13"/>
        <v>0.25773195876288657</v>
      </c>
      <c r="F23" s="14">
        <v>4</v>
      </c>
      <c r="G23" s="15">
        <f>IFERROR(F23/F$4*100,"-")</f>
        <v>0.97799511002444983</v>
      </c>
      <c r="H23" s="14">
        <v>1</v>
      </c>
      <c r="I23" s="15">
        <f>IFERROR(H23/H$4*100,"-")</f>
        <v>0.35842293906810035</v>
      </c>
      <c r="J23" s="14">
        <v>2</v>
      </c>
      <c r="K23" s="15">
        <f>IFERROR(J23/J$4*100,"-")</f>
        <v>0.76628352490421447</v>
      </c>
      <c r="L23" s="14">
        <v>6</v>
      </c>
      <c r="M23" s="15">
        <f>IFERROR(L23/L$4*100,"-")</f>
        <v>2.0477815699658701</v>
      </c>
      <c r="N23" s="14">
        <v>1</v>
      </c>
      <c r="O23" s="15">
        <f>IFERROR(N23/N$4*100,"-")</f>
        <v>0.30769230769230771</v>
      </c>
      <c r="P23" s="14" t="s">
        <v>49</v>
      </c>
      <c r="Q23" s="15" t="str">
        <f>IFERROR(P23/P$4*100,"-")</f>
        <v>-</v>
      </c>
      <c r="R23" s="14">
        <v>11</v>
      </c>
      <c r="S23" s="15">
        <f>IFERROR(R23/R$4*100,"-")</f>
        <v>3.6544850498338874</v>
      </c>
      <c r="T23" s="122">
        <v>6</v>
      </c>
      <c r="U23" s="15">
        <f>IFERROR(T23/T$4*100,"-")</f>
        <v>1.7142857142857144</v>
      </c>
      <c r="V23" s="56">
        <v>1</v>
      </c>
      <c r="W23" s="84">
        <f t="shared" ref="W23:W36" si="23">IFERROR(V23/V$4*100,"-")</f>
        <v>0.26246719160104987</v>
      </c>
      <c r="X23" s="57">
        <v>1</v>
      </c>
      <c r="Y23" s="99">
        <f t="shared" si="2"/>
        <v>0.31545741324921134</v>
      </c>
    </row>
    <row r="24" spans="1:25" ht="20.100000000000001" customHeight="1">
      <c r="A24" s="120" t="s">
        <v>340</v>
      </c>
      <c r="B24" s="14">
        <v>1</v>
      </c>
      <c r="C24" s="15">
        <f t="shared" si="12"/>
        <v>0.26455026455026454</v>
      </c>
      <c r="D24" s="14" t="s">
        <v>49</v>
      </c>
      <c r="E24" s="15" t="str">
        <f t="shared" si="13"/>
        <v>-</v>
      </c>
      <c r="F24" s="14">
        <v>1</v>
      </c>
      <c r="G24" s="15">
        <f>IFERROR(F24/F$4*100,"-")</f>
        <v>0.24449877750611246</v>
      </c>
      <c r="H24" s="14" t="s">
        <v>49</v>
      </c>
      <c r="I24" s="15" t="str">
        <f>IFERROR(H24/H$4*100,"-")</f>
        <v>-</v>
      </c>
      <c r="J24" s="14" t="s">
        <v>49</v>
      </c>
      <c r="K24" s="15" t="str">
        <f>IFERROR(J24/J$4*100,"-")</f>
        <v>-</v>
      </c>
      <c r="L24" s="14" t="s">
        <v>49</v>
      </c>
      <c r="M24" s="15" t="str">
        <f>IFERROR(L24/L$4*100,"-")</f>
        <v>-</v>
      </c>
      <c r="N24" s="14" t="s">
        <v>49</v>
      </c>
      <c r="O24" s="15" t="str">
        <f>IFERROR(N24/N$4*100,"-")</f>
        <v>-</v>
      </c>
      <c r="P24" s="14">
        <v>1</v>
      </c>
      <c r="Q24" s="15">
        <f>IFERROR(P24/P$4*100,"-")</f>
        <v>0.42372881355932202</v>
      </c>
      <c r="R24" s="14">
        <v>1</v>
      </c>
      <c r="S24" s="15">
        <f>IFERROR(R24/R$4*100,"-")</f>
        <v>0.33222591362126247</v>
      </c>
      <c r="T24" s="122">
        <v>1</v>
      </c>
      <c r="U24" s="15">
        <f>IFERROR(T24/T$4*100,"-")</f>
        <v>0.2857142857142857</v>
      </c>
      <c r="V24" s="123">
        <v>0</v>
      </c>
      <c r="W24" s="123">
        <f t="shared" si="23"/>
        <v>0</v>
      </c>
      <c r="X24" s="57">
        <v>1</v>
      </c>
      <c r="Y24" s="99">
        <f t="shared" si="2"/>
        <v>0.31545741324921134</v>
      </c>
    </row>
    <row r="25" spans="1:25" ht="20.100000000000001" customHeight="1">
      <c r="A25" s="120" t="s">
        <v>635</v>
      </c>
      <c r="B25" s="14" t="s">
        <v>49</v>
      </c>
      <c r="C25" s="15" t="str">
        <f t="shared" si="12"/>
        <v>-</v>
      </c>
      <c r="D25" s="15" t="str">
        <f>IFERROR(C25/C$4*100,"-")</f>
        <v>-</v>
      </c>
      <c r="E25" s="15" t="str">
        <f t="shared" si="13"/>
        <v>-</v>
      </c>
      <c r="F25" s="14" t="s">
        <v>49</v>
      </c>
      <c r="G25" s="14" t="s">
        <v>49</v>
      </c>
      <c r="H25" s="14" t="s">
        <v>49</v>
      </c>
      <c r="I25" s="14" t="s">
        <v>49</v>
      </c>
      <c r="J25" s="14" t="s">
        <v>49</v>
      </c>
      <c r="K25" s="14" t="s">
        <v>49</v>
      </c>
      <c r="L25" s="14" t="s">
        <v>49</v>
      </c>
      <c r="M25" s="14" t="s">
        <v>49</v>
      </c>
      <c r="N25" s="14" t="s">
        <v>49</v>
      </c>
      <c r="O25" s="14" t="s">
        <v>49</v>
      </c>
      <c r="P25" s="14" t="s">
        <v>49</v>
      </c>
      <c r="Q25" s="14" t="s">
        <v>49</v>
      </c>
      <c r="R25" s="14" t="s">
        <v>49</v>
      </c>
      <c r="S25" s="14" t="s">
        <v>49</v>
      </c>
      <c r="T25" s="14" t="s">
        <v>49</v>
      </c>
      <c r="U25" s="14" t="s">
        <v>49</v>
      </c>
      <c r="V25" s="123">
        <v>0</v>
      </c>
      <c r="W25" s="283">
        <f t="shared" si="23"/>
        <v>0</v>
      </c>
      <c r="X25" s="57">
        <v>1</v>
      </c>
      <c r="Y25" s="99">
        <f t="shared" si="2"/>
        <v>0.31545741324921134</v>
      </c>
    </row>
    <row r="26" spans="1:25" ht="20.100000000000001" customHeight="1">
      <c r="A26" s="120" t="s">
        <v>636</v>
      </c>
      <c r="B26" s="14" t="s">
        <v>49</v>
      </c>
      <c r="C26" s="15" t="str">
        <f t="shared" si="12"/>
        <v>-</v>
      </c>
      <c r="D26" s="15" t="str">
        <f>IFERROR(C26/C$4*100,"-")</f>
        <v>-</v>
      </c>
      <c r="E26" s="15" t="str">
        <f t="shared" si="13"/>
        <v>-</v>
      </c>
      <c r="F26" s="14" t="s">
        <v>49</v>
      </c>
      <c r="G26" s="14" t="s">
        <v>49</v>
      </c>
      <c r="H26" s="14" t="s">
        <v>49</v>
      </c>
      <c r="I26" s="14" t="s">
        <v>49</v>
      </c>
      <c r="J26" s="14" t="s">
        <v>49</v>
      </c>
      <c r="K26" s="14" t="s">
        <v>49</v>
      </c>
      <c r="L26" s="14" t="s">
        <v>49</v>
      </c>
      <c r="M26" s="14" t="s">
        <v>49</v>
      </c>
      <c r="N26" s="14" t="s">
        <v>49</v>
      </c>
      <c r="O26" s="14" t="s">
        <v>49</v>
      </c>
      <c r="P26" s="14" t="s">
        <v>49</v>
      </c>
      <c r="Q26" s="14" t="s">
        <v>49</v>
      </c>
      <c r="R26" s="14" t="s">
        <v>49</v>
      </c>
      <c r="S26" s="14" t="s">
        <v>49</v>
      </c>
      <c r="T26" s="14" t="s">
        <v>49</v>
      </c>
      <c r="U26" s="14" t="s">
        <v>49</v>
      </c>
      <c r="V26" s="123">
        <v>0</v>
      </c>
      <c r="W26" s="283">
        <f t="shared" si="23"/>
        <v>0</v>
      </c>
      <c r="X26" s="57">
        <v>1</v>
      </c>
      <c r="Y26" s="99">
        <f t="shared" si="2"/>
        <v>0.31545741324921134</v>
      </c>
    </row>
    <row r="27" spans="1:25" ht="20.100000000000001" customHeight="1">
      <c r="A27" s="120" t="s">
        <v>350</v>
      </c>
      <c r="B27" s="14" t="s">
        <v>49</v>
      </c>
      <c r="C27" s="15" t="str">
        <f t="shared" si="12"/>
        <v>-</v>
      </c>
      <c r="D27" s="14" t="s">
        <v>49</v>
      </c>
      <c r="E27" s="15" t="str">
        <f t="shared" si="13"/>
        <v>-</v>
      </c>
      <c r="F27" s="14" t="s">
        <v>49</v>
      </c>
      <c r="G27" s="15" t="str">
        <f t="shared" ref="G27:G36" si="24">IFERROR(F27/F$4*100,"-")</f>
        <v>-</v>
      </c>
      <c r="H27" s="14" t="s">
        <v>49</v>
      </c>
      <c r="I27" s="15" t="str">
        <f t="shared" ref="I27:I36" si="25">IFERROR(H27/H$4*100,"-")</f>
        <v>-</v>
      </c>
      <c r="J27" s="14" t="s">
        <v>49</v>
      </c>
      <c r="K27" s="15" t="str">
        <f t="shared" ref="K27:K36" si="26">IFERROR(J27/J$4*100,"-")</f>
        <v>-</v>
      </c>
      <c r="L27" s="14" t="s">
        <v>49</v>
      </c>
      <c r="M27" s="15" t="str">
        <f t="shared" ref="M27:M36" si="27">IFERROR(L27/L$4*100,"-")</f>
        <v>-</v>
      </c>
      <c r="N27" s="14" t="s">
        <v>49</v>
      </c>
      <c r="O27" s="15" t="str">
        <f t="shared" ref="O27:O36" si="28">IFERROR(N27/N$4*100,"-")</f>
        <v>-</v>
      </c>
      <c r="P27" s="14" t="s">
        <v>49</v>
      </c>
      <c r="Q27" s="15" t="str">
        <f t="shared" ref="Q27:Q36" si="29">IFERROR(P27/P$4*100,"-")</f>
        <v>-</v>
      </c>
      <c r="R27" s="14" t="s">
        <v>49</v>
      </c>
      <c r="S27" s="15" t="str">
        <f t="shared" ref="S27:S36" si="30">IFERROR(R27/R$4*100,"-")</f>
        <v>-</v>
      </c>
      <c r="T27" s="124" t="s">
        <v>49</v>
      </c>
      <c r="U27" s="15" t="str">
        <f t="shared" ref="U27:U36" si="31">IFERROR(T27/T$4*100,"-")</f>
        <v>-</v>
      </c>
      <c r="V27" s="56">
        <v>2</v>
      </c>
      <c r="W27" s="84">
        <f t="shared" si="23"/>
        <v>0.52493438320209973</v>
      </c>
      <c r="X27" s="57" t="s">
        <v>9</v>
      </c>
      <c r="Y27" s="99" t="str">
        <f t="shared" si="2"/>
        <v>-</v>
      </c>
    </row>
    <row r="28" spans="1:25" ht="20.100000000000001" customHeight="1">
      <c r="A28" s="120" t="s">
        <v>346</v>
      </c>
      <c r="B28" s="14" t="s">
        <v>49</v>
      </c>
      <c r="C28" s="15" t="str">
        <f t="shared" si="12"/>
        <v>-</v>
      </c>
      <c r="D28" s="14" t="s">
        <v>49</v>
      </c>
      <c r="E28" s="15" t="str">
        <f t="shared" si="13"/>
        <v>-</v>
      </c>
      <c r="F28" s="14">
        <v>2</v>
      </c>
      <c r="G28" s="15">
        <f t="shared" si="24"/>
        <v>0.48899755501222492</v>
      </c>
      <c r="H28" s="14" t="s">
        <v>49</v>
      </c>
      <c r="I28" s="15" t="str">
        <f t="shared" si="25"/>
        <v>-</v>
      </c>
      <c r="J28" s="14" t="s">
        <v>49</v>
      </c>
      <c r="K28" s="15" t="str">
        <f t="shared" si="26"/>
        <v>-</v>
      </c>
      <c r="L28" s="14" t="s">
        <v>49</v>
      </c>
      <c r="M28" s="15" t="str">
        <f t="shared" si="27"/>
        <v>-</v>
      </c>
      <c r="N28" s="14" t="s">
        <v>49</v>
      </c>
      <c r="O28" s="15" t="str">
        <f t="shared" si="28"/>
        <v>-</v>
      </c>
      <c r="P28" s="14" t="s">
        <v>49</v>
      </c>
      <c r="Q28" s="15" t="str">
        <f t="shared" si="29"/>
        <v>-</v>
      </c>
      <c r="R28" s="14" t="s">
        <v>49</v>
      </c>
      <c r="S28" s="15" t="str">
        <f t="shared" si="30"/>
        <v>-</v>
      </c>
      <c r="T28" s="124" t="s">
        <v>49</v>
      </c>
      <c r="U28" s="15" t="str">
        <f t="shared" si="31"/>
        <v>-</v>
      </c>
      <c r="V28" s="56">
        <v>1</v>
      </c>
      <c r="W28" s="84">
        <f t="shared" si="23"/>
        <v>0.26246719160104987</v>
      </c>
      <c r="X28" s="57" t="s">
        <v>9</v>
      </c>
      <c r="Y28" s="99" t="str">
        <f t="shared" si="2"/>
        <v>-</v>
      </c>
    </row>
    <row r="29" spans="1:25" ht="20.100000000000001" customHeight="1">
      <c r="A29" s="120" t="s">
        <v>339</v>
      </c>
      <c r="B29" s="14" t="s">
        <v>49</v>
      </c>
      <c r="C29" s="15" t="str">
        <f t="shared" si="12"/>
        <v>-</v>
      </c>
      <c r="D29" s="14">
        <v>1</v>
      </c>
      <c r="E29" s="15">
        <f t="shared" si="13"/>
        <v>0.25773195876288657</v>
      </c>
      <c r="F29" s="14" t="s">
        <v>49</v>
      </c>
      <c r="G29" s="15" t="str">
        <f t="shared" si="24"/>
        <v>-</v>
      </c>
      <c r="H29" s="14" t="s">
        <v>49</v>
      </c>
      <c r="I29" s="15" t="str">
        <f t="shared" si="25"/>
        <v>-</v>
      </c>
      <c r="J29" s="14" t="s">
        <v>49</v>
      </c>
      <c r="K29" s="15" t="str">
        <f t="shared" si="26"/>
        <v>-</v>
      </c>
      <c r="L29" s="14" t="s">
        <v>49</v>
      </c>
      <c r="M29" s="15" t="str">
        <f t="shared" si="27"/>
        <v>-</v>
      </c>
      <c r="N29" s="14">
        <v>1</v>
      </c>
      <c r="O29" s="15">
        <f t="shared" si="28"/>
        <v>0.30769230769230771</v>
      </c>
      <c r="P29" s="14">
        <v>3</v>
      </c>
      <c r="Q29" s="15">
        <f t="shared" si="29"/>
        <v>1.2711864406779663</v>
      </c>
      <c r="R29" s="14" t="s">
        <v>49</v>
      </c>
      <c r="S29" s="15" t="str">
        <f t="shared" si="30"/>
        <v>-</v>
      </c>
      <c r="T29" s="122">
        <v>1</v>
      </c>
      <c r="U29" s="15">
        <f t="shared" si="31"/>
        <v>0.2857142857142857</v>
      </c>
      <c r="V29" s="123">
        <v>0</v>
      </c>
      <c r="W29" s="123">
        <f t="shared" si="23"/>
        <v>0</v>
      </c>
      <c r="X29" s="283" t="s">
        <v>9</v>
      </c>
      <c r="Y29" s="99" t="str">
        <f t="shared" si="2"/>
        <v>-</v>
      </c>
    </row>
    <row r="30" spans="1:25" ht="20.100000000000001" customHeight="1">
      <c r="A30" s="120" t="s">
        <v>341</v>
      </c>
      <c r="B30" s="14" t="s">
        <v>49</v>
      </c>
      <c r="C30" s="15" t="str">
        <f t="shared" si="12"/>
        <v>-</v>
      </c>
      <c r="D30" s="14" t="s">
        <v>49</v>
      </c>
      <c r="E30" s="15" t="str">
        <f t="shared" si="13"/>
        <v>-</v>
      </c>
      <c r="F30" s="14" t="s">
        <v>49</v>
      </c>
      <c r="G30" s="15" t="str">
        <f t="shared" si="24"/>
        <v>-</v>
      </c>
      <c r="H30" s="14" t="s">
        <v>49</v>
      </c>
      <c r="I30" s="15" t="str">
        <f t="shared" si="25"/>
        <v>-</v>
      </c>
      <c r="J30" s="14" t="s">
        <v>49</v>
      </c>
      <c r="K30" s="15" t="str">
        <f t="shared" si="26"/>
        <v>-</v>
      </c>
      <c r="L30" s="14" t="s">
        <v>49</v>
      </c>
      <c r="M30" s="15" t="str">
        <f t="shared" si="27"/>
        <v>-</v>
      </c>
      <c r="N30" s="14" t="s">
        <v>49</v>
      </c>
      <c r="O30" s="15" t="str">
        <f t="shared" si="28"/>
        <v>-</v>
      </c>
      <c r="P30" s="14" t="s">
        <v>49</v>
      </c>
      <c r="Q30" s="15" t="str">
        <f t="shared" si="29"/>
        <v>-</v>
      </c>
      <c r="R30" s="14">
        <v>1</v>
      </c>
      <c r="S30" s="15">
        <f t="shared" si="30"/>
        <v>0.33222591362126247</v>
      </c>
      <c r="T30" s="124" t="s">
        <v>49</v>
      </c>
      <c r="U30" s="15" t="str">
        <f t="shared" si="31"/>
        <v>-</v>
      </c>
      <c r="V30" s="123">
        <v>0</v>
      </c>
      <c r="W30" s="123">
        <f t="shared" si="23"/>
        <v>0</v>
      </c>
      <c r="X30" s="283" t="s">
        <v>9</v>
      </c>
      <c r="Y30" s="99" t="str">
        <f t="shared" si="2"/>
        <v>-</v>
      </c>
    </row>
    <row r="31" spans="1:25" ht="20.100000000000001" customHeight="1">
      <c r="A31" s="120" t="s">
        <v>347</v>
      </c>
      <c r="B31" s="14" t="s">
        <v>49</v>
      </c>
      <c r="C31" s="15" t="str">
        <f t="shared" si="12"/>
        <v>-</v>
      </c>
      <c r="D31" s="14" t="s">
        <v>49</v>
      </c>
      <c r="E31" s="15" t="str">
        <f t="shared" si="13"/>
        <v>-</v>
      </c>
      <c r="F31" s="14" t="s">
        <v>49</v>
      </c>
      <c r="G31" s="15" t="str">
        <f t="shared" si="24"/>
        <v>-</v>
      </c>
      <c r="H31" s="14" t="s">
        <v>49</v>
      </c>
      <c r="I31" s="15" t="str">
        <f t="shared" si="25"/>
        <v>-</v>
      </c>
      <c r="J31" s="14" t="s">
        <v>49</v>
      </c>
      <c r="K31" s="15" t="str">
        <f t="shared" si="26"/>
        <v>-</v>
      </c>
      <c r="L31" s="14" t="s">
        <v>49</v>
      </c>
      <c r="M31" s="15" t="str">
        <f t="shared" si="27"/>
        <v>-</v>
      </c>
      <c r="N31" s="14" t="s">
        <v>49</v>
      </c>
      <c r="O31" s="15" t="str">
        <f t="shared" si="28"/>
        <v>-</v>
      </c>
      <c r="P31" s="14" t="s">
        <v>49</v>
      </c>
      <c r="Q31" s="15" t="str">
        <f t="shared" si="29"/>
        <v>-</v>
      </c>
      <c r="R31" s="14">
        <v>1</v>
      </c>
      <c r="S31" s="15">
        <f t="shared" si="30"/>
        <v>0.33222591362126247</v>
      </c>
      <c r="T31" s="124" t="s">
        <v>49</v>
      </c>
      <c r="U31" s="15" t="str">
        <f t="shared" si="31"/>
        <v>-</v>
      </c>
      <c r="V31" s="123">
        <v>0</v>
      </c>
      <c r="W31" s="123">
        <f t="shared" si="23"/>
        <v>0</v>
      </c>
      <c r="X31" s="283" t="s">
        <v>9</v>
      </c>
      <c r="Y31" s="99" t="str">
        <f t="shared" si="2"/>
        <v>-</v>
      </c>
    </row>
    <row r="32" spans="1:25" ht="20.100000000000001" customHeight="1">
      <c r="A32" s="120" t="s">
        <v>348</v>
      </c>
      <c r="B32" s="14" t="s">
        <v>49</v>
      </c>
      <c r="C32" s="15" t="str">
        <f t="shared" si="12"/>
        <v>-</v>
      </c>
      <c r="D32" s="14">
        <v>1</v>
      </c>
      <c r="E32" s="15">
        <f t="shared" si="13"/>
        <v>0.25773195876288657</v>
      </c>
      <c r="F32" s="14">
        <v>5</v>
      </c>
      <c r="G32" s="15">
        <f t="shared" si="24"/>
        <v>1.2224938875305624</v>
      </c>
      <c r="H32" s="14">
        <v>1</v>
      </c>
      <c r="I32" s="15">
        <f t="shared" si="25"/>
        <v>0.35842293906810035</v>
      </c>
      <c r="J32" s="14" t="s">
        <v>49</v>
      </c>
      <c r="K32" s="15" t="str">
        <f t="shared" si="26"/>
        <v>-</v>
      </c>
      <c r="L32" s="14">
        <v>1</v>
      </c>
      <c r="M32" s="15">
        <f t="shared" si="27"/>
        <v>0.34129692832764508</v>
      </c>
      <c r="N32" s="14" t="s">
        <v>49</v>
      </c>
      <c r="O32" s="15" t="str">
        <f t="shared" si="28"/>
        <v>-</v>
      </c>
      <c r="P32" s="14">
        <v>1</v>
      </c>
      <c r="Q32" s="15">
        <f t="shared" si="29"/>
        <v>0.42372881355932202</v>
      </c>
      <c r="R32" s="14" t="s">
        <v>49</v>
      </c>
      <c r="S32" s="15" t="str">
        <f t="shared" si="30"/>
        <v>-</v>
      </c>
      <c r="T32" s="124" t="s">
        <v>49</v>
      </c>
      <c r="U32" s="15" t="str">
        <f t="shared" si="31"/>
        <v>-</v>
      </c>
      <c r="V32" s="123">
        <v>0</v>
      </c>
      <c r="W32" s="123">
        <f t="shared" si="23"/>
        <v>0</v>
      </c>
      <c r="X32" s="283" t="s">
        <v>9</v>
      </c>
      <c r="Y32" s="99" t="str">
        <f t="shared" si="2"/>
        <v>-</v>
      </c>
    </row>
    <row r="33" spans="1:25" ht="20.100000000000001" customHeight="1">
      <c r="A33" s="120" t="s">
        <v>349</v>
      </c>
      <c r="B33" s="14" t="s">
        <v>49</v>
      </c>
      <c r="C33" s="15" t="str">
        <f t="shared" si="12"/>
        <v>-</v>
      </c>
      <c r="D33" s="14" t="s">
        <v>49</v>
      </c>
      <c r="E33" s="15" t="str">
        <f t="shared" si="13"/>
        <v>-</v>
      </c>
      <c r="F33" s="14" t="s">
        <v>49</v>
      </c>
      <c r="G33" s="15" t="str">
        <f t="shared" si="24"/>
        <v>-</v>
      </c>
      <c r="H33" s="14" t="s">
        <v>49</v>
      </c>
      <c r="I33" s="15" t="str">
        <f t="shared" si="25"/>
        <v>-</v>
      </c>
      <c r="J33" s="14" t="s">
        <v>49</v>
      </c>
      <c r="K33" s="15" t="str">
        <f t="shared" si="26"/>
        <v>-</v>
      </c>
      <c r="L33" s="14" t="s">
        <v>49</v>
      </c>
      <c r="M33" s="15" t="str">
        <f t="shared" si="27"/>
        <v>-</v>
      </c>
      <c r="N33" s="14">
        <v>1</v>
      </c>
      <c r="O33" s="15">
        <f t="shared" si="28"/>
        <v>0.30769230769230771</v>
      </c>
      <c r="P33" s="14" t="s">
        <v>49</v>
      </c>
      <c r="Q33" s="15" t="str">
        <f t="shared" si="29"/>
        <v>-</v>
      </c>
      <c r="R33" s="14" t="s">
        <v>49</v>
      </c>
      <c r="S33" s="15" t="str">
        <f t="shared" si="30"/>
        <v>-</v>
      </c>
      <c r="T33" s="124" t="s">
        <v>49</v>
      </c>
      <c r="U33" s="15" t="str">
        <f t="shared" si="31"/>
        <v>-</v>
      </c>
      <c r="V33" s="123">
        <v>0</v>
      </c>
      <c r="W33" s="123">
        <f t="shared" si="23"/>
        <v>0</v>
      </c>
      <c r="X33" s="283" t="s">
        <v>9</v>
      </c>
      <c r="Y33" s="99" t="str">
        <f t="shared" si="2"/>
        <v>-</v>
      </c>
    </row>
    <row r="34" spans="1:25" ht="20.100000000000001" customHeight="1">
      <c r="A34" s="120" t="s">
        <v>342</v>
      </c>
      <c r="B34" s="14" t="s">
        <v>49</v>
      </c>
      <c r="C34" s="15" t="str">
        <f t="shared" si="12"/>
        <v>-</v>
      </c>
      <c r="D34" s="14">
        <v>1</v>
      </c>
      <c r="E34" s="15">
        <f t="shared" si="13"/>
        <v>0.25773195876288657</v>
      </c>
      <c r="F34" s="14">
        <v>1</v>
      </c>
      <c r="G34" s="15">
        <f t="shared" si="24"/>
        <v>0.24449877750611246</v>
      </c>
      <c r="H34" s="14">
        <v>1</v>
      </c>
      <c r="I34" s="15">
        <f t="shared" si="25"/>
        <v>0.35842293906810035</v>
      </c>
      <c r="J34" s="14" t="s">
        <v>49</v>
      </c>
      <c r="K34" s="15" t="str">
        <f t="shared" si="26"/>
        <v>-</v>
      </c>
      <c r="L34" s="14" t="s">
        <v>49</v>
      </c>
      <c r="M34" s="15" t="str">
        <f t="shared" si="27"/>
        <v>-</v>
      </c>
      <c r="N34" s="14" t="s">
        <v>49</v>
      </c>
      <c r="O34" s="15" t="str">
        <f t="shared" si="28"/>
        <v>-</v>
      </c>
      <c r="P34" s="14" t="s">
        <v>49</v>
      </c>
      <c r="Q34" s="15" t="str">
        <f t="shared" si="29"/>
        <v>-</v>
      </c>
      <c r="R34" s="14" t="s">
        <v>49</v>
      </c>
      <c r="S34" s="15" t="str">
        <f t="shared" si="30"/>
        <v>-</v>
      </c>
      <c r="T34" s="124" t="s">
        <v>49</v>
      </c>
      <c r="U34" s="15" t="str">
        <f t="shared" si="31"/>
        <v>-</v>
      </c>
      <c r="V34" s="123">
        <v>0</v>
      </c>
      <c r="W34" s="123">
        <f t="shared" si="23"/>
        <v>0</v>
      </c>
      <c r="X34" s="283" t="s">
        <v>9</v>
      </c>
      <c r="Y34" s="99" t="str">
        <f t="shared" si="2"/>
        <v>-</v>
      </c>
    </row>
    <row r="35" spans="1:25" ht="20.100000000000001" customHeight="1">
      <c r="A35" s="120" t="s">
        <v>343</v>
      </c>
      <c r="B35" s="14" t="s">
        <v>49</v>
      </c>
      <c r="C35" s="15" t="str">
        <f t="shared" si="12"/>
        <v>-</v>
      </c>
      <c r="D35" s="14" t="s">
        <v>49</v>
      </c>
      <c r="E35" s="15" t="str">
        <f t="shared" si="13"/>
        <v>-</v>
      </c>
      <c r="F35" s="14">
        <v>1</v>
      </c>
      <c r="G35" s="15">
        <f t="shared" si="24"/>
        <v>0.24449877750611246</v>
      </c>
      <c r="H35" s="14" t="s">
        <v>49</v>
      </c>
      <c r="I35" s="15" t="str">
        <f t="shared" si="25"/>
        <v>-</v>
      </c>
      <c r="J35" s="14" t="s">
        <v>49</v>
      </c>
      <c r="K35" s="15" t="str">
        <f t="shared" si="26"/>
        <v>-</v>
      </c>
      <c r="L35" s="14" t="s">
        <v>49</v>
      </c>
      <c r="M35" s="15" t="str">
        <f t="shared" si="27"/>
        <v>-</v>
      </c>
      <c r="N35" s="14" t="s">
        <v>49</v>
      </c>
      <c r="O35" s="15" t="str">
        <f t="shared" si="28"/>
        <v>-</v>
      </c>
      <c r="P35" s="14" t="s">
        <v>49</v>
      </c>
      <c r="Q35" s="15" t="str">
        <f t="shared" si="29"/>
        <v>-</v>
      </c>
      <c r="R35" s="14" t="s">
        <v>49</v>
      </c>
      <c r="S35" s="15" t="str">
        <f t="shared" si="30"/>
        <v>-</v>
      </c>
      <c r="T35" s="124" t="s">
        <v>49</v>
      </c>
      <c r="U35" s="15" t="str">
        <f t="shared" si="31"/>
        <v>-</v>
      </c>
      <c r="V35" s="123">
        <v>0</v>
      </c>
      <c r="W35" s="123">
        <f t="shared" si="23"/>
        <v>0</v>
      </c>
      <c r="X35" s="283" t="s">
        <v>9</v>
      </c>
      <c r="Y35" s="99" t="str">
        <f t="shared" si="2"/>
        <v>-</v>
      </c>
    </row>
    <row r="36" spans="1:25" ht="20.100000000000001" customHeight="1">
      <c r="A36" s="120" t="s">
        <v>351</v>
      </c>
      <c r="B36" s="14" t="s">
        <v>49</v>
      </c>
      <c r="C36" s="15" t="str">
        <f t="shared" si="12"/>
        <v>-</v>
      </c>
      <c r="D36" s="14">
        <v>2</v>
      </c>
      <c r="E36" s="15">
        <f t="shared" si="13"/>
        <v>0.51546391752577314</v>
      </c>
      <c r="F36" s="14">
        <v>1</v>
      </c>
      <c r="G36" s="15">
        <f t="shared" si="24"/>
        <v>0.24449877750611246</v>
      </c>
      <c r="H36" s="14" t="s">
        <v>49</v>
      </c>
      <c r="I36" s="15" t="str">
        <f t="shared" si="25"/>
        <v>-</v>
      </c>
      <c r="J36" s="14" t="s">
        <v>49</v>
      </c>
      <c r="K36" s="15" t="str">
        <f t="shared" si="26"/>
        <v>-</v>
      </c>
      <c r="L36" s="14" t="s">
        <v>49</v>
      </c>
      <c r="M36" s="15" t="str">
        <f t="shared" si="27"/>
        <v>-</v>
      </c>
      <c r="N36" s="14" t="s">
        <v>49</v>
      </c>
      <c r="O36" s="15" t="str">
        <f t="shared" si="28"/>
        <v>-</v>
      </c>
      <c r="P36" s="14" t="s">
        <v>49</v>
      </c>
      <c r="Q36" s="15" t="str">
        <f t="shared" si="29"/>
        <v>-</v>
      </c>
      <c r="R36" s="14" t="s">
        <v>49</v>
      </c>
      <c r="S36" s="15" t="str">
        <f t="shared" si="30"/>
        <v>-</v>
      </c>
      <c r="T36" s="124" t="s">
        <v>49</v>
      </c>
      <c r="U36" s="15" t="str">
        <f t="shared" si="31"/>
        <v>-</v>
      </c>
      <c r="V36" s="123">
        <v>0</v>
      </c>
      <c r="W36" s="283">
        <f t="shared" si="23"/>
        <v>0</v>
      </c>
      <c r="X36" s="283" t="s">
        <v>9</v>
      </c>
      <c r="Y36" s="99" t="str">
        <f t="shared" si="2"/>
        <v>-</v>
      </c>
    </row>
    <row r="37" spans="1:25" ht="20.100000000000001" customHeight="1">
      <c r="A37" s="125" t="s">
        <v>352</v>
      </c>
      <c r="B37" s="51" t="s">
        <v>49</v>
      </c>
      <c r="C37" s="119" t="str">
        <f t="shared" si="12"/>
        <v>-</v>
      </c>
      <c r="D37" s="51">
        <v>1</v>
      </c>
      <c r="E37" s="119">
        <f t="shared" si="13"/>
        <v>0.25773195876288657</v>
      </c>
      <c r="F37" s="51" t="s">
        <v>49</v>
      </c>
      <c r="G37" s="119" t="str">
        <f t="shared" ref="G37" si="32">IFERROR(F37/F$4*100,"-")</f>
        <v>-</v>
      </c>
      <c r="H37" s="51" t="s">
        <v>49</v>
      </c>
      <c r="I37" s="119" t="str">
        <f t="shared" ref="I37" si="33">IFERROR(H37/H$4*100,"-")</f>
        <v>-</v>
      </c>
      <c r="J37" s="51" t="s">
        <v>49</v>
      </c>
      <c r="K37" s="119" t="str">
        <f t="shared" ref="K37" si="34">IFERROR(J37/J$4*100,"-")</f>
        <v>-</v>
      </c>
      <c r="L37" s="51" t="s">
        <v>49</v>
      </c>
      <c r="M37" s="119" t="str">
        <f t="shared" ref="M37" si="35">IFERROR(L37/L$4*100,"-")</f>
        <v>-</v>
      </c>
      <c r="N37" s="51" t="s">
        <v>49</v>
      </c>
      <c r="O37" s="119" t="str">
        <f t="shared" ref="O37" si="36">IFERROR(N37/N$4*100,"-")</f>
        <v>-</v>
      </c>
      <c r="P37" s="51" t="s">
        <v>49</v>
      </c>
      <c r="Q37" s="119" t="str">
        <f t="shared" ref="Q37" si="37">IFERROR(P37/P$4*100,"-")</f>
        <v>-</v>
      </c>
      <c r="R37" s="51" t="s">
        <v>49</v>
      </c>
      <c r="S37" s="119" t="str">
        <f t="shared" ref="S37" si="38">IFERROR(R37/R$4*100,"-")</f>
        <v>-</v>
      </c>
      <c r="T37" s="126">
        <v>1</v>
      </c>
      <c r="U37" s="119">
        <f t="shared" ref="U37" si="39">IFERROR(T37/T$4*100,"-")</f>
        <v>0.2857142857142857</v>
      </c>
      <c r="V37" s="127">
        <v>0</v>
      </c>
      <c r="W37" s="127">
        <f t="shared" ref="W37" si="40">IFERROR(V37/V$4*100,"-")</f>
        <v>0</v>
      </c>
      <c r="X37" s="51">
        <v>0</v>
      </c>
      <c r="Y37" s="284" t="s">
        <v>634</v>
      </c>
    </row>
    <row r="38" spans="1:25" ht="29.1" customHeight="1">
      <c r="A38" s="490" t="s">
        <v>353</v>
      </c>
      <c r="B38" s="490"/>
      <c r="C38" s="490"/>
      <c r="D38" s="490"/>
      <c r="E38" s="490"/>
      <c r="F38" s="465"/>
      <c r="G38" s="465"/>
      <c r="H38" s="465"/>
      <c r="I38" s="465"/>
      <c r="J38" s="128"/>
      <c r="K38" s="128"/>
      <c r="L38" s="128"/>
      <c r="M38" s="128"/>
      <c r="N38" s="128"/>
      <c r="O38" s="128"/>
      <c r="P38" s="128"/>
      <c r="Q38" s="128"/>
      <c r="R38" s="128"/>
      <c r="S38" s="128"/>
      <c r="T38" s="128"/>
      <c r="U38" s="128"/>
      <c r="V38" s="128"/>
      <c r="W38" s="128"/>
      <c r="X38" s="71"/>
      <c r="Y38" s="71"/>
    </row>
    <row r="39" spans="1:25">
      <c r="A39" s="56"/>
      <c r="B39" s="56"/>
      <c r="C39" s="56"/>
      <c r="D39" s="56"/>
      <c r="E39" s="56"/>
      <c r="F39" s="56"/>
      <c r="G39" s="56"/>
      <c r="H39" s="56"/>
      <c r="I39" s="56"/>
      <c r="J39" s="56"/>
      <c r="K39" s="56"/>
      <c r="L39" s="56"/>
      <c r="M39" s="56"/>
      <c r="N39" s="56"/>
      <c r="O39" s="56"/>
      <c r="P39" s="56"/>
      <c r="Q39" s="56"/>
      <c r="R39" s="56"/>
      <c r="S39" s="56"/>
      <c r="T39" s="56"/>
      <c r="U39" s="56"/>
      <c r="V39" s="56"/>
      <c r="W39" s="56"/>
      <c r="X39" s="56"/>
      <c r="Y39" s="56"/>
    </row>
  </sheetData>
  <sortState ref="A33:Y36">
    <sortCondition ref="N33:N36"/>
  </sortState>
  <mergeCells count="14">
    <mergeCell ref="A1:Y1"/>
    <mergeCell ref="T2:U2"/>
    <mergeCell ref="V2:W2"/>
    <mergeCell ref="A38:I38"/>
    <mergeCell ref="B2:C2"/>
    <mergeCell ref="F2:G2"/>
    <mergeCell ref="H2:I2"/>
    <mergeCell ref="J2:K2"/>
    <mergeCell ref="L2:M2"/>
    <mergeCell ref="N2:O2"/>
    <mergeCell ref="P2:Q2"/>
    <mergeCell ref="R2:S2"/>
    <mergeCell ref="X2:Y2"/>
    <mergeCell ref="D2:E2"/>
  </mergeCells>
  <phoneticPr fontId="3" type="noConversion"/>
  <conditionalFormatting sqref="F40:X51">
    <cfRule type="cellIs" dxfId="1" priority="1" operator="equal">
      <formula>2</formula>
    </cfRule>
    <cfRule type="cellIs" dxfId="0" priority="2" operator="equal">
      <formula>1</formula>
    </cfRule>
  </conditionalFormatting>
  <hyperlinks>
    <hyperlink ref="Z1" location="本篇表次!A1" display="回本篇表次"/>
  </hyperlinks>
  <printOptions horizontalCentered="1"/>
  <pageMargins left="0.70866141732283472" right="0.70866141732283472" top="0.74803149606299213" bottom="0.74803149606299213" header="0.31496062992125984" footer="0.31496062992125984"/>
  <pageSetup paperSize="9" scale="6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7"/>
  <sheetViews>
    <sheetView showGridLines="0" zoomScale="120" zoomScaleNormal="120" workbookViewId="0">
      <pane xSplit="1" topLeftCell="B1" activePane="topRight" state="frozen"/>
      <selection activeCell="G17" sqref="G17"/>
      <selection pane="topRight" sqref="A1:K1"/>
    </sheetView>
  </sheetViews>
  <sheetFormatPr defaultColWidth="11" defaultRowHeight="16.5"/>
  <cols>
    <col min="1" max="1" width="19" customWidth="1"/>
    <col min="2" max="11" width="9" customWidth="1"/>
    <col min="12" max="12" width="12.625" bestFit="1" customWidth="1"/>
  </cols>
  <sheetData>
    <row r="1" spans="1:12" ht="21.95" customHeight="1">
      <c r="A1" s="452" t="s">
        <v>354</v>
      </c>
      <c r="B1" s="452"/>
      <c r="C1" s="452"/>
      <c r="D1" s="452"/>
      <c r="E1" s="452"/>
      <c r="F1" s="452"/>
      <c r="G1" s="452"/>
      <c r="H1" s="452"/>
      <c r="I1" s="452"/>
      <c r="J1" s="452"/>
      <c r="K1" s="452"/>
      <c r="L1" s="242" t="s">
        <v>548</v>
      </c>
    </row>
    <row r="2" spans="1:12" s="129" customFormat="1" ht="20.100000000000001" customHeight="1">
      <c r="A2" s="16"/>
      <c r="B2" s="395" t="s">
        <v>37</v>
      </c>
      <c r="C2" s="480"/>
      <c r="D2" s="395" t="s">
        <v>38</v>
      </c>
      <c r="E2" s="480"/>
      <c r="F2" s="395" t="s">
        <v>39</v>
      </c>
      <c r="G2" s="395"/>
      <c r="H2" s="474" t="s">
        <v>40</v>
      </c>
      <c r="I2" s="474"/>
      <c r="J2" s="474" t="s">
        <v>41</v>
      </c>
      <c r="K2" s="474"/>
    </row>
    <row r="3" spans="1:12" s="129" customFormat="1" ht="20.100000000000001" customHeight="1">
      <c r="A3" s="4"/>
      <c r="B3" s="8" t="s">
        <v>76</v>
      </c>
      <c r="C3" s="8" t="s">
        <v>60</v>
      </c>
      <c r="D3" s="8" t="s">
        <v>76</v>
      </c>
      <c r="E3" s="8" t="s">
        <v>60</v>
      </c>
      <c r="F3" s="8" t="s">
        <v>76</v>
      </c>
      <c r="G3" s="8" t="s">
        <v>60</v>
      </c>
      <c r="H3" s="8" t="s">
        <v>76</v>
      </c>
      <c r="I3" s="8" t="s">
        <v>60</v>
      </c>
      <c r="J3" s="8" t="s">
        <v>76</v>
      </c>
      <c r="K3" s="8" t="s">
        <v>60</v>
      </c>
    </row>
    <row r="4" spans="1:12" ht="20.100000000000001" customHeight="1">
      <c r="A4" s="24" t="s">
        <v>355</v>
      </c>
      <c r="B4" s="208">
        <f t="shared" ref="B4:I4" si="0">SUM(B5:B8)</f>
        <v>409</v>
      </c>
      <c r="C4" s="209">
        <f t="shared" si="0"/>
        <v>100</v>
      </c>
      <c r="D4" s="208">
        <f t="shared" si="0"/>
        <v>279</v>
      </c>
      <c r="E4" s="209">
        <f t="shared" si="0"/>
        <v>100</v>
      </c>
      <c r="F4" s="208">
        <f t="shared" si="0"/>
        <v>261</v>
      </c>
      <c r="G4" s="209">
        <f t="shared" si="0"/>
        <v>100</v>
      </c>
      <c r="H4" s="208">
        <f t="shared" si="0"/>
        <v>293</v>
      </c>
      <c r="I4" s="209">
        <f t="shared" si="0"/>
        <v>100</v>
      </c>
      <c r="J4" s="208">
        <f>SUM(J5:J8)</f>
        <v>325</v>
      </c>
      <c r="K4" s="209">
        <f>SUM(K5:K8)</f>
        <v>100</v>
      </c>
    </row>
    <row r="5" spans="1:12" ht="20.100000000000001" customHeight="1">
      <c r="A5" s="24" t="s">
        <v>215</v>
      </c>
      <c r="B5" s="131">
        <v>39</v>
      </c>
      <c r="C5" s="132">
        <f>B5/B$4*100</f>
        <v>9.5354523227383865</v>
      </c>
      <c r="D5" s="131">
        <v>24</v>
      </c>
      <c r="E5" s="132">
        <f>D5/D$4*100</f>
        <v>8.6021505376344098</v>
      </c>
      <c r="F5" s="131">
        <v>14</v>
      </c>
      <c r="G5" s="132">
        <f>F5/F$4*100</f>
        <v>5.3639846743295019</v>
      </c>
      <c r="H5" s="131">
        <v>13</v>
      </c>
      <c r="I5" s="132">
        <f>H5/H$4*100</f>
        <v>4.4368600682593859</v>
      </c>
      <c r="J5" s="131">
        <v>19</v>
      </c>
      <c r="K5" s="132">
        <f>J5/J$4*100</f>
        <v>5.8461538461538458</v>
      </c>
    </row>
    <row r="6" spans="1:12" ht="20.100000000000001" customHeight="1">
      <c r="A6" s="24" t="s">
        <v>216</v>
      </c>
      <c r="B6" s="131">
        <v>62</v>
      </c>
      <c r="C6" s="132">
        <f t="shared" ref="C6:C8" si="1">B6/B$4*100</f>
        <v>15.158924205378973</v>
      </c>
      <c r="D6" s="131">
        <v>35</v>
      </c>
      <c r="E6" s="132">
        <f t="shared" ref="E6:E8" si="2">D6/D$4*100</f>
        <v>12.544802867383511</v>
      </c>
      <c r="F6" s="131">
        <v>25</v>
      </c>
      <c r="G6" s="132">
        <f t="shared" ref="G6:G8" si="3">F6/F$4*100</f>
        <v>9.5785440613026829</v>
      </c>
      <c r="H6" s="131">
        <v>37</v>
      </c>
      <c r="I6" s="132">
        <f t="shared" ref="I6:I8" si="4">H6/H$4*100</f>
        <v>12.627986348122866</v>
      </c>
      <c r="J6" s="131">
        <v>54</v>
      </c>
      <c r="K6" s="132">
        <f>J6/J$4*100</f>
        <v>16.615384615384617</v>
      </c>
    </row>
    <row r="7" spans="1:12" ht="20.100000000000001" customHeight="1">
      <c r="A7" s="24" t="s">
        <v>217</v>
      </c>
      <c r="B7" s="131">
        <v>120</v>
      </c>
      <c r="C7" s="132">
        <f t="shared" si="1"/>
        <v>29.339853300733498</v>
      </c>
      <c r="D7" s="131">
        <v>68</v>
      </c>
      <c r="E7" s="132">
        <f t="shared" si="2"/>
        <v>24.372759856630825</v>
      </c>
      <c r="F7" s="131">
        <v>63</v>
      </c>
      <c r="G7" s="132">
        <f t="shared" si="3"/>
        <v>24.137931034482758</v>
      </c>
      <c r="H7" s="131">
        <v>85</v>
      </c>
      <c r="I7" s="132">
        <f t="shared" si="4"/>
        <v>29.010238907849828</v>
      </c>
      <c r="J7" s="131">
        <v>95</v>
      </c>
      <c r="K7" s="132">
        <f>J7/J$4*100</f>
        <v>29.230769230769234</v>
      </c>
    </row>
    <row r="8" spans="1:12" ht="20.100000000000001" customHeight="1" thickBot="1">
      <c r="A8" s="37" t="s">
        <v>218</v>
      </c>
      <c r="B8" s="133">
        <v>188</v>
      </c>
      <c r="C8" s="134">
        <f t="shared" si="1"/>
        <v>45.965770171149146</v>
      </c>
      <c r="D8" s="133">
        <v>152</v>
      </c>
      <c r="E8" s="134">
        <f t="shared" si="2"/>
        <v>54.480286738351261</v>
      </c>
      <c r="F8" s="133">
        <v>159</v>
      </c>
      <c r="G8" s="134">
        <f t="shared" si="3"/>
        <v>60.919540229885058</v>
      </c>
      <c r="H8" s="133">
        <v>158</v>
      </c>
      <c r="I8" s="134">
        <f t="shared" si="4"/>
        <v>53.924914675767923</v>
      </c>
      <c r="J8" s="133">
        <v>157</v>
      </c>
      <c r="K8" s="134">
        <f>J8/J$4*100</f>
        <v>48.307692307692307</v>
      </c>
    </row>
    <row r="9" spans="1:12" s="129" customFormat="1" ht="20.100000000000001" customHeight="1">
      <c r="A9" s="4"/>
      <c r="B9" s="474" t="s">
        <v>42</v>
      </c>
      <c r="C9" s="474"/>
      <c r="D9" s="474" t="s">
        <v>43</v>
      </c>
      <c r="E9" s="481"/>
      <c r="F9" s="474" t="s">
        <v>77</v>
      </c>
      <c r="G9" s="474"/>
      <c r="H9" s="474" t="s">
        <v>73</v>
      </c>
      <c r="I9" s="481"/>
      <c r="J9" s="474" t="s">
        <v>624</v>
      </c>
      <c r="K9" s="481"/>
    </row>
    <row r="10" spans="1:12" s="129" customFormat="1" ht="20.100000000000001" customHeight="1">
      <c r="A10" s="4"/>
      <c r="B10" s="8" t="s">
        <v>76</v>
      </c>
      <c r="C10" s="8" t="s">
        <v>60</v>
      </c>
      <c r="D10" s="8" t="s">
        <v>76</v>
      </c>
      <c r="E10" s="8" t="s">
        <v>60</v>
      </c>
      <c r="F10" s="8" t="s">
        <v>76</v>
      </c>
      <c r="G10" s="8" t="s">
        <v>60</v>
      </c>
      <c r="H10" s="8" t="s">
        <v>76</v>
      </c>
      <c r="I10" s="8" t="s">
        <v>60</v>
      </c>
      <c r="J10" s="8" t="s">
        <v>76</v>
      </c>
      <c r="K10" s="8" t="s">
        <v>60</v>
      </c>
    </row>
    <row r="11" spans="1:12" s="130" customFormat="1" ht="20.100000000000001" customHeight="1">
      <c r="A11" s="24" t="s">
        <v>355</v>
      </c>
      <c r="B11" s="10">
        <f t="shared" ref="B11:K11" si="5">SUM(B12:B15)</f>
        <v>236</v>
      </c>
      <c r="C11" s="30">
        <f t="shared" si="5"/>
        <v>100</v>
      </c>
      <c r="D11" s="10">
        <f t="shared" si="5"/>
        <v>301</v>
      </c>
      <c r="E11" s="30">
        <f t="shared" si="5"/>
        <v>100</v>
      </c>
      <c r="F11" s="10">
        <f t="shared" si="5"/>
        <v>350</v>
      </c>
      <c r="G11" s="30">
        <f t="shared" si="5"/>
        <v>100</v>
      </c>
      <c r="H11" s="208">
        <f t="shared" si="5"/>
        <v>381</v>
      </c>
      <c r="I11" s="209">
        <f t="shared" si="5"/>
        <v>100</v>
      </c>
      <c r="J11" s="208">
        <f t="shared" si="5"/>
        <v>317</v>
      </c>
      <c r="K11" s="209">
        <f t="shared" si="5"/>
        <v>100</v>
      </c>
    </row>
    <row r="12" spans="1:12" s="130" customFormat="1" ht="20.100000000000001" customHeight="1">
      <c r="A12" s="24" t="s">
        <v>215</v>
      </c>
      <c r="B12" s="5">
        <v>21</v>
      </c>
      <c r="C12" s="36">
        <f>B12/B$11*100</f>
        <v>8.898305084745763</v>
      </c>
      <c r="D12" s="5">
        <f>20+1</f>
        <v>21</v>
      </c>
      <c r="E12" s="36">
        <f>D12/D$11*100</f>
        <v>6.9767441860465116</v>
      </c>
      <c r="F12" s="5">
        <v>39</v>
      </c>
      <c r="G12" s="36">
        <f>F12/F$11*100</f>
        <v>11.142857142857142</v>
      </c>
      <c r="H12" s="131">
        <v>54</v>
      </c>
      <c r="I12" s="132">
        <f>H12/H$11*100</f>
        <v>14.173228346456693</v>
      </c>
      <c r="J12" s="131">
        <v>43</v>
      </c>
      <c r="K12" s="132">
        <f>J12/J$11*100</f>
        <v>13.564668769716087</v>
      </c>
    </row>
    <row r="13" spans="1:12" s="130" customFormat="1" ht="20.100000000000001" customHeight="1">
      <c r="A13" s="24" t="s">
        <v>216</v>
      </c>
      <c r="B13" s="5">
        <v>31</v>
      </c>
      <c r="C13" s="36">
        <f>B13/B$11*100</f>
        <v>13.135593220338984</v>
      </c>
      <c r="D13" s="5">
        <f>48+4</f>
        <v>52</v>
      </c>
      <c r="E13" s="36">
        <f>D13/D$11*100</f>
        <v>17.275747508305646</v>
      </c>
      <c r="F13" s="5">
        <v>71</v>
      </c>
      <c r="G13" s="36">
        <f>F13/F$11*100</f>
        <v>20.285714285714285</v>
      </c>
      <c r="H13" s="131">
        <v>68</v>
      </c>
      <c r="I13" s="132">
        <f>H13/H$11*100</f>
        <v>17.84776902887139</v>
      </c>
      <c r="J13" s="131">
        <v>55</v>
      </c>
      <c r="K13" s="132">
        <f t="shared" ref="K13:K15" si="6">J13/J$11*100</f>
        <v>17.350157728706623</v>
      </c>
    </row>
    <row r="14" spans="1:12" s="130" customFormat="1" ht="20.100000000000001" customHeight="1">
      <c r="A14" s="24" t="s">
        <v>217</v>
      </c>
      <c r="B14" s="5">
        <v>65</v>
      </c>
      <c r="C14" s="36">
        <f>B14/B$11*100</f>
        <v>27.542372881355931</v>
      </c>
      <c r="D14" s="5">
        <f>62+2</f>
        <v>64</v>
      </c>
      <c r="E14" s="36">
        <f>D14/D$11*100</f>
        <v>21.262458471760798</v>
      </c>
      <c r="F14" s="5">
        <v>108</v>
      </c>
      <c r="G14" s="36">
        <f>F14/F$11*100</f>
        <v>30.857142857142854</v>
      </c>
      <c r="H14" s="131">
        <v>98</v>
      </c>
      <c r="I14" s="132">
        <f>H14/H$11*100</f>
        <v>25.72178477690289</v>
      </c>
      <c r="J14" s="131">
        <v>86</v>
      </c>
      <c r="K14" s="132">
        <f t="shared" si="6"/>
        <v>27.129337539432175</v>
      </c>
    </row>
    <row r="15" spans="1:12" s="130" customFormat="1" ht="20.100000000000001" customHeight="1">
      <c r="A15" s="35" t="s">
        <v>218</v>
      </c>
      <c r="B15" s="7">
        <v>119</v>
      </c>
      <c r="C15" s="49">
        <f>B15/B$11*100</f>
        <v>50.423728813559322</v>
      </c>
      <c r="D15" s="7">
        <f>154+10</f>
        <v>164</v>
      </c>
      <c r="E15" s="49">
        <f>D15/D$11*100</f>
        <v>54.485049833887047</v>
      </c>
      <c r="F15" s="7">
        <v>132</v>
      </c>
      <c r="G15" s="49">
        <f>F15/F$11*100</f>
        <v>37.714285714285715</v>
      </c>
      <c r="H15" s="7">
        <v>161</v>
      </c>
      <c r="I15" s="49">
        <f>H15/H$11*100</f>
        <v>42.257217847769027</v>
      </c>
      <c r="J15" s="7">
        <v>133</v>
      </c>
      <c r="K15" s="285">
        <f t="shared" si="6"/>
        <v>41.955835962145109</v>
      </c>
    </row>
    <row r="16" spans="1:12">
      <c r="A16" s="71" t="s">
        <v>78</v>
      </c>
      <c r="B16" s="71"/>
      <c r="C16" s="56"/>
      <c r="D16" s="56"/>
      <c r="E16" s="56"/>
      <c r="F16" s="56"/>
      <c r="G16" s="56"/>
      <c r="H16" s="93"/>
      <c r="I16" s="84"/>
      <c r="J16" s="56"/>
      <c r="K16" s="84"/>
    </row>
    <row r="17" spans="1:11">
      <c r="A17" s="484" t="s">
        <v>79</v>
      </c>
      <c r="B17" s="484"/>
      <c r="C17" s="484"/>
      <c r="D17" s="484"/>
      <c r="E17" s="484"/>
      <c r="F17" s="484"/>
      <c r="G17" s="11"/>
      <c r="H17" s="11"/>
      <c r="I17" s="11"/>
      <c r="J17" s="11"/>
      <c r="K17" s="11"/>
    </row>
  </sheetData>
  <mergeCells count="12">
    <mergeCell ref="A17:F17"/>
    <mergeCell ref="A1:K1"/>
    <mergeCell ref="B2:C2"/>
    <mergeCell ref="D2:E2"/>
    <mergeCell ref="F2:G2"/>
    <mergeCell ref="H2:I2"/>
    <mergeCell ref="J2:K2"/>
    <mergeCell ref="B9:C9"/>
    <mergeCell ref="D9:E9"/>
    <mergeCell ref="F9:G9"/>
    <mergeCell ref="H9:I9"/>
    <mergeCell ref="J9:K9"/>
  </mergeCells>
  <phoneticPr fontId="3" type="noConversion"/>
  <hyperlinks>
    <hyperlink ref="L1" location="本篇表次!A1" display="回本篇表次"/>
  </hyperlinks>
  <printOptions horizontalCentered="1"/>
  <pageMargins left="0.70866141732283472" right="0.70866141732283472" top="0.74803149606299213" bottom="0.74803149606299213" header="0.31496062992125984" footer="0.31496062992125984"/>
  <pageSetup paperSize="224"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Q31"/>
  <sheetViews>
    <sheetView showGridLines="0" zoomScaleNormal="100" zoomScaleSheetLayoutView="100" workbookViewId="0">
      <selection activeCell="Q1" sqref="Q1:Q2"/>
    </sheetView>
  </sheetViews>
  <sheetFormatPr defaultColWidth="9" defaultRowHeight="15.75"/>
  <cols>
    <col min="1" max="1" width="5.625" style="40" customWidth="1"/>
    <col min="2" max="3" width="9" style="40" customWidth="1"/>
    <col min="4" max="10" width="9" style="40"/>
    <col min="11" max="11" width="25.625" style="40" bestFit="1" customWidth="1"/>
    <col min="12" max="15" width="9" style="40"/>
    <col min="16" max="16" width="4.375" style="40" customWidth="1"/>
    <col min="17" max="17" width="12.625" style="40" bestFit="1" customWidth="1"/>
    <col min="18" max="16384" width="9" style="40"/>
  </cols>
  <sheetData>
    <row r="1" spans="5:17" ht="16.5" customHeight="1">
      <c r="Q1" s="373" t="s">
        <v>548</v>
      </c>
    </row>
    <row r="2" spans="5:17">
      <c r="E2" s="350" t="s">
        <v>585</v>
      </c>
      <c r="F2" s="351"/>
      <c r="G2" s="351"/>
      <c r="H2" s="352"/>
      <c r="J2" s="350" t="s">
        <v>586</v>
      </c>
      <c r="K2" s="351"/>
      <c r="L2" s="351"/>
      <c r="M2" s="352"/>
      <c r="Q2" s="373"/>
    </row>
    <row r="3" spans="5:17">
      <c r="E3" s="353"/>
      <c r="F3" s="354"/>
      <c r="G3" s="354"/>
      <c r="H3" s="355"/>
      <c r="J3" s="353"/>
      <c r="K3" s="354"/>
      <c r="L3" s="354"/>
      <c r="M3" s="355"/>
    </row>
    <row r="4" spans="5:17" ht="16.5" customHeight="1">
      <c r="E4" s="356" t="s">
        <v>587</v>
      </c>
      <c r="F4" s="356"/>
      <c r="G4" s="257"/>
      <c r="K4" s="212"/>
      <c r="L4" s="358" t="s">
        <v>588</v>
      </c>
    </row>
    <row r="5" spans="5:17">
      <c r="E5" s="357"/>
      <c r="F5" s="357"/>
      <c r="G5" s="259"/>
      <c r="K5" s="48"/>
      <c r="L5" s="359"/>
    </row>
    <row r="6" spans="5:17" ht="16.5" thickBot="1">
      <c r="E6" s="350" t="s">
        <v>589</v>
      </c>
      <c r="F6" s="352"/>
      <c r="H6" s="350" t="s">
        <v>590</v>
      </c>
      <c r="I6" s="351"/>
      <c r="J6" s="351"/>
      <c r="K6" s="352"/>
    </row>
    <row r="7" spans="5:17">
      <c r="E7" s="353"/>
      <c r="F7" s="355"/>
      <c r="G7" s="260"/>
      <c r="H7" s="353"/>
      <c r="I7" s="354"/>
      <c r="J7" s="354"/>
      <c r="K7" s="355"/>
      <c r="L7" s="261"/>
      <c r="M7" s="262"/>
      <c r="N7" s="262"/>
      <c r="O7" s="263"/>
      <c r="P7" s="337"/>
    </row>
    <row r="8" spans="5:17" ht="15.75" customHeight="1">
      <c r="E8" s="370" t="s">
        <v>723</v>
      </c>
      <c r="F8" s="370"/>
      <c r="H8" s="255"/>
      <c r="I8" s="351" t="s">
        <v>591</v>
      </c>
      <c r="J8" s="358" t="s">
        <v>592</v>
      </c>
      <c r="K8" s="264"/>
      <c r="O8" s="265"/>
    </row>
    <row r="9" spans="5:17">
      <c r="E9" s="371"/>
      <c r="F9" s="371"/>
      <c r="I9" s="354"/>
      <c r="J9" s="365"/>
      <c r="O9" s="265"/>
    </row>
    <row r="10" spans="5:17" ht="41.25" customHeight="1">
      <c r="F10" s="266"/>
      <c r="G10" s="266"/>
      <c r="H10" s="366" t="s">
        <v>593</v>
      </c>
      <c r="I10" s="367"/>
      <c r="J10" s="366" t="s">
        <v>594</v>
      </c>
      <c r="K10" s="368"/>
      <c r="L10" s="368"/>
      <c r="M10" s="369"/>
      <c r="O10" s="265"/>
    </row>
    <row r="11" spans="5:17" ht="33" customHeight="1" thickBot="1">
      <c r="F11" s="266"/>
      <c r="G11" s="266"/>
      <c r="H11" s="370" t="s">
        <v>595</v>
      </c>
      <c r="I11" s="370"/>
      <c r="J11" s="267"/>
      <c r="K11" s="264"/>
      <c r="L11" s="264"/>
      <c r="M11" s="264"/>
      <c r="O11" s="265"/>
    </row>
    <row r="12" spans="5:17" ht="16.5" customHeight="1">
      <c r="F12" s="268"/>
      <c r="G12" s="268"/>
      <c r="H12" s="269"/>
      <c r="I12" s="270"/>
      <c r="J12" s="269"/>
      <c r="K12" s="271"/>
      <c r="L12" s="263"/>
      <c r="O12" s="265"/>
    </row>
    <row r="13" spans="5:17" ht="16.5" customHeight="1" thickBot="1">
      <c r="F13" s="360" t="s">
        <v>596</v>
      </c>
      <c r="G13" s="352"/>
      <c r="H13" s="272"/>
      <c r="I13" s="360" t="s">
        <v>597</v>
      </c>
      <c r="J13" s="362"/>
      <c r="K13" s="336" t="s">
        <v>787</v>
      </c>
      <c r="L13" s="350" t="s">
        <v>598</v>
      </c>
      <c r="M13" s="352"/>
      <c r="N13" s="273"/>
      <c r="O13" s="265"/>
      <c r="P13" s="337"/>
    </row>
    <row r="14" spans="5:17">
      <c r="F14" s="353"/>
      <c r="G14" s="355"/>
      <c r="I14" s="363"/>
      <c r="J14" s="364"/>
      <c r="K14" s="279"/>
      <c r="L14" s="353"/>
      <c r="M14" s="355"/>
      <c r="N14" s="339"/>
      <c r="O14" s="340"/>
      <c r="P14" s="337"/>
    </row>
    <row r="15" spans="5:17" ht="23.25" customHeight="1" thickBot="1">
      <c r="F15" s="264"/>
      <c r="G15" s="264"/>
      <c r="I15" s="256"/>
      <c r="J15" s="385" t="s">
        <v>599</v>
      </c>
      <c r="K15" s="386"/>
      <c r="L15" s="264"/>
      <c r="M15" s="264"/>
      <c r="N15" s="265"/>
      <c r="O15" s="340"/>
      <c r="P15" s="337"/>
    </row>
    <row r="16" spans="5:17">
      <c r="E16" s="274"/>
      <c r="F16" s="262"/>
      <c r="G16" s="262"/>
      <c r="H16" s="262"/>
      <c r="I16" s="263"/>
      <c r="J16" s="338"/>
      <c r="K16" s="268"/>
      <c r="L16" s="337"/>
      <c r="M16" s="337"/>
      <c r="N16" s="265"/>
      <c r="O16" s="340"/>
      <c r="P16" s="337"/>
    </row>
    <row r="17" spans="1:16" ht="20.100000000000001" customHeight="1">
      <c r="D17" s="360" t="s">
        <v>600</v>
      </c>
      <c r="E17" s="362"/>
      <c r="G17" s="360" t="s">
        <v>601</v>
      </c>
      <c r="H17" s="361"/>
      <c r="I17" s="361"/>
      <c r="J17" s="361"/>
      <c r="K17" s="361"/>
      <c r="L17" s="362"/>
      <c r="N17" s="341"/>
      <c r="O17" s="342"/>
      <c r="P17" s="337"/>
    </row>
    <row r="18" spans="1:16" ht="20.100000000000001" customHeight="1">
      <c r="D18" s="363"/>
      <c r="E18" s="364"/>
      <c r="G18" s="363"/>
      <c r="H18" s="357"/>
      <c r="I18" s="357"/>
      <c r="J18" s="357"/>
      <c r="K18" s="357"/>
      <c r="L18" s="364"/>
      <c r="N18" s="343"/>
      <c r="O18" s="342"/>
      <c r="P18" s="337"/>
    </row>
    <row r="19" spans="1:16" ht="16.5" thickBot="1">
      <c r="G19" s="257"/>
      <c r="N19" s="265"/>
      <c r="O19" s="340"/>
      <c r="P19" s="337"/>
    </row>
    <row r="20" spans="1:16" ht="16.5" customHeight="1" thickBot="1">
      <c r="C20" s="274"/>
      <c r="D20" s="262"/>
      <c r="E20" s="262"/>
      <c r="F20" s="263"/>
      <c r="G20" s="275"/>
      <c r="I20" s="350" t="s">
        <v>602</v>
      </c>
      <c r="J20" s="352"/>
      <c r="N20" s="213"/>
      <c r="O20" s="340"/>
      <c r="P20" s="337"/>
    </row>
    <row r="21" spans="1:16" ht="16.5" customHeight="1">
      <c r="B21" s="350" t="s">
        <v>603</v>
      </c>
      <c r="C21" s="352"/>
      <c r="E21" s="360" t="s">
        <v>604</v>
      </c>
      <c r="F21" s="361"/>
      <c r="G21" s="362"/>
      <c r="H21" s="276"/>
      <c r="I21" s="353"/>
      <c r="J21" s="355"/>
      <c r="K21" s="261"/>
      <c r="L21" s="262"/>
      <c r="M21" s="262"/>
      <c r="N21" s="262"/>
      <c r="O21" s="265"/>
      <c r="P21" s="337"/>
    </row>
    <row r="22" spans="1:16" ht="16.5" customHeight="1" thickBot="1">
      <c r="B22" s="353"/>
      <c r="C22" s="355"/>
      <c r="E22" s="363"/>
      <c r="F22" s="357"/>
      <c r="G22" s="364"/>
      <c r="I22" s="264"/>
      <c r="J22" s="258"/>
      <c r="O22" s="265"/>
    </row>
    <row r="23" spans="1:16">
      <c r="C23" s="257"/>
      <c r="J23" s="277"/>
      <c r="K23" s="262"/>
      <c r="L23" s="263"/>
      <c r="O23" s="265"/>
    </row>
    <row r="24" spans="1:16" ht="17.25" customHeight="1" thickBot="1">
      <c r="C24" s="259"/>
      <c r="G24" s="374" t="s">
        <v>605</v>
      </c>
      <c r="H24" s="375"/>
      <c r="I24" s="350" t="s">
        <v>606</v>
      </c>
      <c r="J24" s="352"/>
      <c r="L24" s="350" t="s">
        <v>607</v>
      </c>
      <c r="M24" s="351"/>
      <c r="N24" s="352"/>
      <c r="O24" s="278"/>
    </row>
    <row r="25" spans="1:16" ht="15.75" customHeight="1" thickBot="1">
      <c r="B25" s="360" t="s">
        <v>608</v>
      </c>
      <c r="C25" s="361"/>
      <c r="D25" s="362"/>
      <c r="E25" s="376" t="s">
        <v>609</v>
      </c>
      <c r="F25" s="377"/>
      <c r="G25" s="374"/>
      <c r="H25" s="375"/>
      <c r="I25" s="353"/>
      <c r="J25" s="355"/>
      <c r="L25" s="353"/>
      <c r="M25" s="354"/>
      <c r="N25" s="355"/>
      <c r="O25" s="261"/>
      <c r="P25" s="337"/>
    </row>
    <row r="26" spans="1:16" ht="19.5" customHeight="1">
      <c r="B26" s="363"/>
      <c r="C26" s="357"/>
      <c r="D26" s="364"/>
      <c r="E26" s="279"/>
      <c r="F26" s="360" t="s">
        <v>610</v>
      </c>
      <c r="G26" s="362"/>
      <c r="J26" s="280"/>
    </row>
    <row r="27" spans="1:16" ht="16.5" customHeight="1" thickBot="1">
      <c r="F27" s="378"/>
      <c r="G27" s="379"/>
      <c r="I27" s="350" t="s">
        <v>611</v>
      </c>
      <c r="J27" s="352"/>
    </row>
    <row r="28" spans="1:16" ht="15.75" customHeight="1" thickBot="1">
      <c r="B28" s="380" t="s">
        <v>612</v>
      </c>
      <c r="C28" s="370"/>
      <c r="D28" s="381"/>
      <c r="F28" s="378"/>
      <c r="G28" s="379"/>
      <c r="H28" s="279"/>
      <c r="I28" s="353"/>
      <c r="J28" s="355"/>
    </row>
    <row r="29" spans="1:16" ht="15.75" customHeight="1">
      <c r="B29" s="382"/>
      <c r="C29" s="383"/>
      <c r="D29" s="384"/>
      <c r="E29" s="279"/>
      <c r="F29" s="363"/>
      <c r="G29" s="364"/>
    </row>
    <row r="31" spans="1:16" ht="32.25" customHeight="1">
      <c r="A31" s="372" t="s">
        <v>613</v>
      </c>
      <c r="B31" s="372"/>
      <c r="C31" s="372"/>
      <c r="D31" s="372"/>
      <c r="E31" s="372"/>
      <c r="F31" s="372"/>
      <c r="G31" s="372"/>
      <c r="H31" s="372"/>
      <c r="I31" s="372"/>
      <c r="J31" s="372"/>
      <c r="K31" s="372"/>
      <c r="L31" s="372"/>
      <c r="M31" s="372"/>
      <c r="N31" s="372"/>
      <c r="O31" s="372"/>
      <c r="P31" s="372"/>
    </row>
  </sheetData>
  <mergeCells count="31">
    <mergeCell ref="A31:P31"/>
    <mergeCell ref="Q1:Q2"/>
    <mergeCell ref="G24:H25"/>
    <mergeCell ref="I24:J25"/>
    <mergeCell ref="L24:N25"/>
    <mergeCell ref="B25:D26"/>
    <mergeCell ref="E25:F25"/>
    <mergeCell ref="F26:G29"/>
    <mergeCell ref="I27:J28"/>
    <mergeCell ref="B28:D29"/>
    <mergeCell ref="J15:K15"/>
    <mergeCell ref="D17:E18"/>
    <mergeCell ref="G17:L18"/>
    <mergeCell ref="I20:J21"/>
    <mergeCell ref="B21:C22"/>
    <mergeCell ref="E21:G22"/>
    <mergeCell ref="I8:I9"/>
    <mergeCell ref="J8:J9"/>
    <mergeCell ref="H10:I10"/>
    <mergeCell ref="J10:M10"/>
    <mergeCell ref="H11:I11"/>
    <mergeCell ref="F13:G14"/>
    <mergeCell ref="I13:J14"/>
    <mergeCell ref="L13:M14"/>
    <mergeCell ref="E8:F9"/>
    <mergeCell ref="E2:H3"/>
    <mergeCell ref="J2:M3"/>
    <mergeCell ref="E4:F5"/>
    <mergeCell ref="L4:L5"/>
    <mergeCell ref="E6:F7"/>
    <mergeCell ref="H6:K7"/>
  </mergeCells>
  <phoneticPr fontId="2" type="noConversion"/>
  <hyperlinks>
    <hyperlink ref="Q1" location="本篇表次!A1" display="回本篇表次"/>
  </hyperlinks>
  <pageMargins left="0.7" right="0.7" top="0.75" bottom="0.75" header="0.3" footer="0.3"/>
  <pageSetup paperSize="9" scale="85"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27"/>
  <sheetViews>
    <sheetView showGridLines="0" zoomScale="120" zoomScaleNormal="120" workbookViewId="0">
      <selection sqref="A1:K1"/>
    </sheetView>
  </sheetViews>
  <sheetFormatPr defaultColWidth="11" defaultRowHeight="16.5"/>
  <cols>
    <col min="1" max="1" width="23.375" customWidth="1"/>
    <col min="2" max="11" width="9" customWidth="1"/>
    <col min="12" max="12" width="12.625" bestFit="1" customWidth="1"/>
  </cols>
  <sheetData>
    <row r="1" spans="1:12" ht="21" customHeight="1">
      <c r="A1" s="491" t="s">
        <v>625</v>
      </c>
      <c r="B1" s="389"/>
      <c r="C1" s="389"/>
      <c r="D1" s="389"/>
      <c r="E1" s="389"/>
      <c r="F1" s="389"/>
      <c r="G1" s="389"/>
      <c r="H1" s="389"/>
      <c r="I1" s="389"/>
      <c r="J1" s="389"/>
      <c r="K1" s="389"/>
      <c r="L1" s="242" t="s">
        <v>548</v>
      </c>
    </row>
    <row r="2" spans="1:12" ht="18.95" customHeight="1">
      <c r="A2" s="482"/>
      <c r="B2" s="492" t="s">
        <v>0</v>
      </c>
      <c r="C2" s="395"/>
      <c r="D2" s="493" t="s">
        <v>215</v>
      </c>
      <c r="E2" s="493"/>
      <c r="F2" s="493" t="s">
        <v>216</v>
      </c>
      <c r="G2" s="493"/>
      <c r="H2" s="493" t="s">
        <v>217</v>
      </c>
      <c r="I2" s="493"/>
      <c r="J2" s="493" t="s">
        <v>218</v>
      </c>
      <c r="K2" s="493"/>
    </row>
    <row r="3" spans="1:12" ht="18.95" customHeight="1">
      <c r="A3" s="483"/>
      <c r="B3" s="8" t="s">
        <v>76</v>
      </c>
      <c r="C3" s="8" t="s">
        <v>60</v>
      </c>
      <c r="D3" s="8" t="s">
        <v>76</v>
      </c>
      <c r="E3" s="8" t="s">
        <v>60</v>
      </c>
      <c r="F3" s="8" t="s">
        <v>76</v>
      </c>
      <c r="G3" s="8" t="s">
        <v>60</v>
      </c>
      <c r="H3" s="8" t="s">
        <v>76</v>
      </c>
      <c r="I3" s="8" t="s">
        <v>60</v>
      </c>
      <c r="J3" s="8" t="s">
        <v>76</v>
      </c>
      <c r="K3" s="8" t="s">
        <v>60</v>
      </c>
    </row>
    <row r="4" spans="1:12" ht="18.95" customHeight="1">
      <c r="A4" s="56" t="s">
        <v>48</v>
      </c>
      <c r="B4" s="10">
        <f>SUM(D4,F4,H4,J4)</f>
        <v>317</v>
      </c>
      <c r="C4" s="30">
        <f>SUM(B5,B6)/B$4*100</f>
        <v>100</v>
      </c>
      <c r="D4" s="10">
        <f>SUM(D5,D6)</f>
        <v>43</v>
      </c>
      <c r="E4" s="30">
        <f>SUM(D5,D6)/D$4*100</f>
        <v>100</v>
      </c>
      <c r="F4" s="10">
        <f>SUM(F5,F6)</f>
        <v>55</v>
      </c>
      <c r="G4" s="30">
        <f>SUM(F5,F6)/F$4*100</f>
        <v>100</v>
      </c>
      <c r="H4" s="10">
        <f>SUM(H5,H6)</f>
        <v>86</v>
      </c>
      <c r="I4" s="30">
        <f>SUM(H5,H6)/H$4*100</f>
        <v>100</v>
      </c>
      <c r="J4" s="10">
        <f>SUM(J5,J6)</f>
        <v>133</v>
      </c>
      <c r="K4" s="30">
        <f>SUM(J5,J6)/J$4*100</f>
        <v>100</v>
      </c>
    </row>
    <row r="5" spans="1:12" ht="18.95" customHeight="1">
      <c r="A5" s="57" t="s">
        <v>213</v>
      </c>
      <c r="B5" s="5">
        <v>300</v>
      </c>
      <c r="C5" s="36">
        <f>IFERROR(B5/B$4*100,"-")</f>
        <v>94.637223974763401</v>
      </c>
      <c r="D5" s="5">
        <v>41</v>
      </c>
      <c r="E5" s="36">
        <f>IFERROR(D5/D$4*100,"-")</f>
        <v>95.348837209302332</v>
      </c>
      <c r="F5" s="5">
        <v>54</v>
      </c>
      <c r="G5" s="36">
        <f>IFERROR(F5/F$4*100,"-")</f>
        <v>98.181818181818187</v>
      </c>
      <c r="H5" s="5">
        <v>78</v>
      </c>
      <c r="I5" s="36">
        <f>IFERROR(H5/H$4*100,"-")</f>
        <v>90.697674418604649</v>
      </c>
      <c r="J5" s="5">
        <v>127</v>
      </c>
      <c r="K5" s="36">
        <f>IFERROR(J5/J$4*100,"-")</f>
        <v>95.488721804511272</v>
      </c>
    </row>
    <row r="6" spans="1:12" ht="18.95" customHeight="1">
      <c r="A6" s="59" t="s">
        <v>214</v>
      </c>
      <c r="B6" s="7">
        <v>17</v>
      </c>
      <c r="C6" s="49">
        <f t="shared" ref="C6:E6" si="0">IFERROR(B6/B$4*100,"-")</f>
        <v>5.3627760252365935</v>
      </c>
      <c r="D6" s="7">
        <v>2</v>
      </c>
      <c r="E6" s="49">
        <f t="shared" si="0"/>
        <v>4.6511627906976747</v>
      </c>
      <c r="F6" s="7">
        <v>1</v>
      </c>
      <c r="G6" s="49">
        <f t="shared" ref="G6" si="1">IFERROR(F6/F$4*100,"-")</f>
        <v>1.8181818181818181</v>
      </c>
      <c r="H6" s="7">
        <v>8</v>
      </c>
      <c r="I6" s="49">
        <f t="shared" ref="I6" si="2">IFERROR(H6/H$4*100,"-")</f>
        <v>9.3023255813953494</v>
      </c>
      <c r="J6" s="7">
        <v>6</v>
      </c>
      <c r="K6" s="49">
        <f t="shared" ref="K6" si="3">IFERROR(J6/J$4*100,"-")</f>
        <v>4.5112781954887211</v>
      </c>
    </row>
    <row r="7" spans="1:12" ht="18" customHeight="1">
      <c r="A7" s="24" t="s">
        <v>180</v>
      </c>
      <c r="B7" s="5">
        <f t="shared" ref="B7:B14" si="4">SUM(D7,F7,H7,J7)</f>
        <v>164</v>
      </c>
      <c r="C7" s="36">
        <f t="shared" ref="C7:C14" si="5">IFERROR(B7/B$4*100,"-")</f>
        <v>51.735015772870661</v>
      </c>
      <c r="D7" s="5">
        <v>20</v>
      </c>
      <c r="E7" s="36">
        <f>IFERROR(D7/D$4*100,"-")</f>
        <v>46.511627906976742</v>
      </c>
      <c r="F7" s="5">
        <v>24</v>
      </c>
      <c r="G7" s="36">
        <f t="shared" ref="G7:G14" si="6">IFERROR(F7/F$4*100,"-")</f>
        <v>43.636363636363633</v>
      </c>
      <c r="H7" s="5">
        <v>50</v>
      </c>
      <c r="I7" s="36">
        <f t="shared" ref="I7:I14" si="7">IFERROR(H7/H$4*100,"-")</f>
        <v>58.139534883720934</v>
      </c>
      <c r="J7" s="5">
        <v>70</v>
      </c>
      <c r="K7" s="36">
        <f t="shared" ref="K7:K14" si="8">IFERROR(J7/J$4*100,"-")</f>
        <v>52.631578947368418</v>
      </c>
    </row>
    <row r="8" spans="1:12" ht="18.95" customHeight="1">
      <c r="A8" s="94" t="s">
        <v>541</v>
      </c>
      <c r="B8" s="5">
        <f t="shared" si="4"/>
        <v>41</v>
      </c>
      <c r="C8" s="36">
        <f t="shared" si="5"/>
        <v>12.933753943217665</v>
      </c>
      <c r="D8" s="5">
        <v>9</v>
      </c>
      <c r="E8" s="36">
        <f>IFERROR(D8/D$4*100,"-")</f>
        <v>20.930232558139537</v>
      </c>
      <c r="F8" s="5">
        <v>12</v>
      </c>
      <c r="G8" s="36">
        <f t="shared" si="6"/>
        <v>21.818181818181817</v>
      </c>
      <c r="H8" s="5">
        <v>8</v>
      </c>
      <c r="I8" s="36">
        <f t="shared" si="7"/>
        <v>9.3023255813953494</v>
      </c>
      <c r="J8" s="5">
        <v>12</v>
      </c>
      <c r="K8" s="36">
        <f t="shared" si="8"/>
        <v>9.0225563909774422</v>
      </c>
    </row>
    <row r="9" spans="1:12" ht="18.95" customHeight="1">
      <c r="A9" s="24" t="s">
        <v>175</v>
      </c>
      <c r="B9" s="5">
        <f t="shared" si="4"/>
        <v>35</v>
      </c>
      <c r="C9" s="36">
        <f t="shared" si="5"/>
        <v>11.041009463722396</v>
      </c>
      <c r="D9" s="5">
        <v>8</v>
      </c>
      <c r="E9" s="36">
        <f>IFERROR(D9/D$4*100,"-")</f>
        <v>18.604651162790699</v>
      </c>
      <c r="F9" s="5">
        <v>10</v>
      </c>
      <c r="G9" s="36">
        <f t="shared" si="6"/>
        <v>18.181818181818183</v>
      </c>
      <c r="H9" s="5">
        <v>7</v>
      </c>
      <c r="I9" s="36">
        <f t="shared" si="7"/>
        <v>8.1395348837209305</v>
      </c>
      <c r="J9" s="5">
        <v>10</v>
      </c>
      <c r="K9" s="36">
        <f t="shared" si="8"/>
        <v>7.518796992481203</v>
      </c>
    </row>
    <row r="10" spans="1:12" ht="18.95" customHeight="1">
      <c r="A10" s="24" t="s">
        <v>171</v>
      </c>
      <c r="B10" s="5">
        <f t="shared" si="4"/>
        <v>13</v>
      </c>
      <c r="C10" s="36">
        <f t="shared" si="5"/>
        <v>4.1009463722397479</v>
      </c>
      <c r="D10" s="5">
        <v>1</v>
      </c>
      <c r="E10" s="36">
        <f>IFERROR(D10/D$4*100,"-")</f>
        <v>2.3255813953488373</v>
      </c>
      <c r="F10" s="5">
        <v>2</v>
      </c>
      <c r="G10" s="36">
        <f t="shared" si="6"/>
        <v>3.6363636363636362</v>
      </c>
      <c r="H10" s="5">
        <v>3</v>
      </c>
      <c r="I10" s="36">
        <f t="shared" si="7"/>
        <v>3.4883720930232558</v>
      </c>
      <c r="J10" s="5">
        <v>7</v>
      </c>
      <c r="K10" s="36">
        <f t="shared" si="8"/>
        <v>5.2631578947368416</v>
      </c>
    </row>
    <row r="11" spans="1:12" ht="18.95" customHeight="1">
      <c r="A11" s="24" t="s">
        <v>361</v>
      </c>
      <c r="B11" s="5">
        <f t="shared" si="4"/>
        <v>12</v>
      </c>
      <c r="C11" s="36">
        <f t="shared" si="5"/>
        <v>3.7854889589905363</v>
      </c>
      <c r="D11" s="5">
        <v>0</v>
      </c>
      <c r="E11" s="5">
        <v>0</v>
      </c>
      <c r="F11" s="5">
        <v>1</v>
      </c>
      <c r="G11" s="36">
        <f t="shared" si="6"/>
        <v>1.8181818181818181</v>
      </c>
      <c r="H11" s="5">
        <v>6</v>
      </c>
      <c r="I11" s="36">
        <f t="shared" si="7"/>
        <v>6.9767441860465116</v>
      </c>
      <c r="J11" s="5">
        <v>5</v>
      </c>
      <c r="K11" s="36">
        <f t="shared" si="8"/>
        <v>3.7593984962406015</v>
      </c>
    </row>
    <row r="12" spans="1:12" ht="18.95" customHeight="1">
      <c r="A12" s="24" t="s">
        <v>172</v>
      </c>
      <c r="B12" s="5">
        <f t="shared" si="4"/>
        <v>12</v>
      </c>
      <c r="C12" s="36">
        <f t="shared" si="5"/>
        <v>3.7854889589905363</v>
      </c>
      <c r="D12" s="5">
        <v>1</v>
      </c>
      <c r="E12" s="36">
        <f>IFERROR(D12/D$4*100,"-")</f>
        <v>2.3255813953488373</v>
      </c>
      <c r="F12" s="5">
        <v>1</v>
      </c>
      <c r="G12" s="36">
        <f t="shared" si="6"/>
        <v>1.8181818181818181</v>
      </c>
      <c r="H12" s="5">
        <v>3</v>
      </c>
      <c r="I12" s="36">
        <f t="shared" si="7"/>
        <v>3.4883720930232558</v>
      </c>
      <c r="J12" s="5">
        <v>7</v>
      </c>
      <c r="K12" s="36">
        <f t="shared" si="8"/>
        <v>5.2631578947368416</v>
      </c>
    </row>
    <row r="13" spans="1:12" ht="18.95" customHeight="1">
      <c r="A13" s="136" t="s">
        <v>185</v>
      </c>
      <c r="B13" s="5">
        <f t="shared" si="4"/>
        <v>12</v>
      </c>
      <c r="C13" s="36">
        <f t="shared" si="5"/>
        <v>3.7854889589905363</v>
      </c>
      <c r="D13" s="5">
        <v>2</v>
      </c>
      <c r="E13" s="36">
        <f>IFERROR(D13/D$4*100,"-")</f>
        <v>4.6511627906976747</v>
      </c>
      <c r="F13" s="5">
        <v>2</v>
      </c>
      <c r="G13" s="36">
        <f t="shared" si="6"/>
        <v>3.6363636363636362</v>
      </c>
      <c r="H13" s="5">
        <v>4</v>
      </c>
      <c r="I13" s="36">
        <f t="shared" si="7"/>
        <v>4.6511627906976747</v>
      </c>
      <c r="J13" s="5">
        <v>4</v>
      </c>
      <c r="K13" s="36">
        <f t="shared" si="8"/>
        <v>3.007518796992481</v>
      </c>
    </row>
    <row r="14" spans="1:12" ht="18.95" customHeight="1">
      <c r="A14" s="24" t="s">
        <v>194</v>
      </c>
      <c r="B14" s="5">
        <f t="shared" si="4"/>
        <v>5</v>
      </c>
      <c r="C14" s="36">
        <f t="shared" si="5"/>
        <v>1.5772870662460567</v>
      </c>
      <c r="D14" s="5">
        <v>0</v>
      </c>
      <c r="E14" s="5">
        <v>0</v>
      </c>
      <c r="F14" s="5">
        <v>2</v>
      </c>
      <c r="G14" s="36">
        <f t="shared" si="6"/>
        <v>3.6363636363636362</v>
      </c>
      <c r="H14" s="5">
        <v>2</v>
      </c>
      <c r="I14" s="36">
        <f t="shared" si="7"/>
        <v>2.3255813953488373</v>
      </c>
      <c r="J14" s="5">
        <v>1</v>
      </c>
      <c r="K14" s="36">
        <f t="shared" si="8"/>
        <v>0.75187969924812026</v>
      </c>
    </row>
    <row r="15" spans="1:12" ht="18.95" customHeight="1">
      <c r="A15" s="94" t="s">
        <v>734</v>
      </c>
      <c r="B15" s="5">
        <v>3</v>
      </c>
      <c r="C15" s="36">
        <f t="shared" ref="C15:C24" si="9">IFERROR(B15/B$4*100,"-")</f>
        <v>0.94637223974763407</v>
      </c>
      <c r="D15" s="5">
        <v>0</v>
      </c>
      <c r="E15" s="5">
        <v>0</v>
      </c>
      <c r="F15" s="5">
        <v>0</v>
      </c>
      <c r="G15" s="5">
        <v>0</v>
      </c>
      <c r="H15" s="5">
        <v>0</v>
      </c>
      <c r="I15" s="5">
        <v>0</v>
      </c>
      <c r="J15" s="5">
        <v>3</v>
      </c>
      <c r="K15" s="36">
        <f t="shared" ref="K15:K24" si="10">IFERROR(J15/J$4*100,"-")</f>
        <v>2.2556390977443606</v>
      </c>
    </row>
    <row r="16" spans="1:12" ht="18.95" customHeight="1">
      <c r="A16" s="24" t="s">
        <v>732</v>
      </c>
      <c r="B16" s="5">
        <v>3</v>
      </c>
      <c r="C16" s="36">
        <f t="shared" si="9"/>
        <v>0.94637223974763407</v>
      </c>
      <c r="D16" s="5">
        <v>1</v>
      </c>
      <c r="E16" s="36">
        <f t="shared" ref="E16:E18" si="11">IFERROR(D16/D$4*100,"-")</f>
        <v>2.3255813953488373</v>
      </c>
      <c r="F16" s="5">
        <v>0</v>
      </c>
      <c r="G16" s="5">
        <v>0</v>
      </c>
      <c r="H16" s="5">
        <v>0</v>
      </c>
      <c r="I16" s="5">
        <v>0</v>
      </c>
      <c r="J16" s="5">
        <v>2</v>
      </c>
      <c r="K16" s="36">
        <f t="shared" si="10"/>
        <v>1.5037593984962405</v>
      </c>
    </row>
    <row r="17" spans="1:11" ht="18.95" customHeight="1">
      <c r="A17" s="24" t="s">
        <v>173</v>
      </c>
      <c r="B17" s="5">
        <f>SUM(D17,F17,H17,J17)</f>
        <v>3</v>
      </c>
      <c r="C17" s="36">
        <f t="shared" si="9"/>
        <v>0.94637223974763407</v>
      </c>
      <c r="D17" s="5">
        <v>0</v>
      </c>
      <c r="E17" s="5">
        <v>0</v>
      </c>
      <c r="F17" s="5">
        <v>0</v>
      </c>
      <c r="G17" s="5">
        <v>0</v>
      </c>
      <c r="H17" s="5">
        <v>1</v>
      </c>
      <c r="I17" s="36">
        <f>IFERROR(H17/H$4*100,"-")</f>
        <v>1.1627906976744187</v>
      </c>
      <c r="J17" s="5">
        <v>2</v>
      </c>
      <c r="K17" s="36">
        <f t="shared" si="10"/>
        <v>1.5037593984962405</v>
      </c>
    </row>
    <row r="18" spans="1:11" ht="18.95" customHeight="1">
      <c r="A18" s="24" t="s">
        <v>177</v>
      </c>
      <c r="B18" s="5">
        <v>3</v>
      </c>
      <c r="C18" s="36">
        <f t="shared" si="9"/>
        <v>0.94637223974763407</v>
      </c>
      <c r="D18" s="5">
        <v>1</v>
      </c>
      <c r="E18" s="36">
        <f t="shared" si="11"/>
        <v>2.3255813953488373</v>
      </c>
      <c r="F18" s="5">
        <v>0</v>
      </c>
      <c r="G18" s="5">
        <v>0</v>
      </c>
      <c r="H18" s="5">
        <v>1</v>
      </c>
      <c r="I18" s="36">
        <f>IFERROR(H18/H$4*100,"-")</f>
        <v>1.1627906976744187</v>
      </c>
      <c r="J18" s="5">
        <v>1</v>
      </c>
      <c r="K18" s="36">
        <f t="shared" si="10"/>
        <v>0.75187969924812026</v>
      </c>
    </row>
    <row r="19" spans="1:11" ht="18.95" customHeight="1">
      <c r="A19" s="24" t="s">
        <v>184</v>
      </c>
      <c r="B19" s="5">
        <f>SUM(D19,F19,H19,J19)</f>
        <v>3</v>
      </c>
      <c r="C19" s="36">
        <f t="shared" si="9"/>
        <v>0.94637223974763407</v>
      </c>
      <c r="D19" s="5">
        <v>0</v>
      </c>
      <c r="E19" s="5">
        <v>0</v>
      </c>
      <c r="F19" s="5">
        <v>0</v>
      </c>
      <c r="G19" s="5">
        <v>0</v>
      </c>
      <c r="H19" s="5">
        <v>0</v>
      </c>
      <c r="I19" s="5">
        <v>0</v>
      </c>
      <c r="J19" s="5">
        <v>3</v>
      </c>
      <c r="K19" s="36">
        <f t="shared" si="10"/>
        <v>2.2556390977443606</v>
      </c>
    </row>
    <row r="20" spans="1:11" ht="18.95" customHeight="1">
      <c r="A20" s="24" t="s">
        <v>186</v>
      </c>
      <c r="B20" s="5">
        <v>2</v>
      </c>
      <c r="C20" s="36">
        <f t="shared" si="9"/>
        <v>0.63091482649842268</v>
      </c>
      <c r="D20" s="5">
        <v>0</v>
      </c>
      <c r="E20" s="5">
        <v>0</v>
      </c>
      <c r="F20" s="5">
        <v>1</v>
      </c>
      <c r="G20" s="36">
        <f>IFERROR(F20/F$4*100,"-")</f>
        <v>1.8181818181818181</v>
      </c>
      <c r="H20" s="5">
        <v>0</v>
      </c>
      <c r="I20" s="5">
        <v>0</v>
      </c>
      <c r="J20" s="5">
        <v>1</v>
      </c>
      <c r="K20" s="36">
        <f t="shared" si="10"/>
        <v>0.75187969924812026</v>
      </c>
    </row>
    <row r="21" spans="1:11" ht="18.95" customHeight="1">
      <c r="A21" s="24" t="s">
        <v>174</v>
      </c>
      <c r="B21" s="5">
        <v>2</v>
      </c>
      <c r="C21" s="36">
        <f t="shared" si="9"/>
        <v>0.63091482649842268</v>
      </c>
      <c r="D21" s="5">
        <v>0</v>
      </c>
      <c r="E21" s="5">
        <v>0</v>
      </c>
      <c r="F21" s="5">
        <v>0</v>
      </c>
      <c r="G21" s="5">
        <v>0</v>
      </c>
      <c r="H21" s="5">
        <v>1</v>
      </c>
      <c r="I21" s="36">
        <f>IFERROR(H21/H$4*100,"-")</f>
        <v>1.1627906976744187</v>
      </c>
      <c r="J21" s="5">
        <v>1</v>
      </c>
      <c r="K21" s="36">
        <f t="shared" si="10"/>
        <v>0.75187969924812026</v>
      </c>
    </row>
    <row r="22" spans="1:11" ht="18.95" customHeight="1">
      <c r="A22" s="94" t="s">
        <v>735</v>
      </c>
      <c r="B22" s="5">
        <v>1</v>
      </c>
      <c r="C22" s="36">
        <f t="shared" si="9"/>
        <v>0.31545741324921134</v>
      </c>
      <c r="D22" s="5">
        <v>0</v>
      </c>
      <c r="E22" s="5">
        <v>0</v>
      </c>
      <c r="F22" s="5">
        <v>0</v>
      </c>
      <c r="G22" s="5">
        <v>0</v>
      </c>
      <c r="H22" s="5">
        <v>0</v>
      </c>
      <c r="I22" s="5">
        <v>0</v>
      </c>
      <c r="J22" s="5">
        <v>1</v>
      </c>
      <c r="K22" s="36">
        <f t="shared" si="10"/>
        <v>0.75187969924812026</v>
      </c>
    </row>
    <row r="23" spans="1:11" ht="18.95" customHeight="1">
      <c r="A23" s="94" t="s">
        <v>736</v>
      </c>
      <c r="B23" s="5">
        <v>1</v>
      </c>
      <c r="C23" s="36">
        <f t="shared" si="9"/>
        <v>0.31545741324921134</v>
      </c>
      <c r="D23" s="5">
        <v>0</v>
      </c>
      <c r="E23" s="5">
        <v>0</v>
      </c>
      <c r="F23" s="5">
        <v>0</v>
      </c>
      <c r="G23" s="5">
        <v>0</v>
      </c>
      <c r="H23" s="5">
        <v>0</v>
      </c>
      <c r="I23" s="5">
        <v>0</v>
      </c>
      <c r="J23" s="5">
        <v>1</v>
      </c>
      <c r="K23" s="36">
        <f t="shared" si="10"/>
        <v>0.75187969924812026</v>
      </c>
    </row>
    <row r="24" spans="1:11" ht="18.95" customHeight="1">
      <c r="A24" s="24" t="s">
        <v>192</v>
      </c>
      <c r="B24" s="5">
        <v>1</v>
      </c>
      <c r="C24" s="36">
        <f t="shared" si="9"/>
        <v>0.31545741324921134</v>
      </c>
      <c r="D24" s="5">
        <v>0</v>
      </c>
      <c r="E24" s="5">
        <v>0</v>
      </c>
      <c r="F24" s="5">
        <v>0</v>
      </c>
      <c r="G24" s="5">
        <v>0</v>
      </c>
      <c r="H24" s="5">
        <v>0</v>
      </c>
      <c r="I24" s="5">
        <v>0</v>
      </c>
      <c r="J24" s="5">
        <v>1</v>
      </c>
      <c r="K24" s="36">
        <f t="shared" si="10"/>
        <v>0.75187969924812026</v>
      </c>
    </row>
    <row r="25" spans="1:11" ht="18.95" customHeight="1">
      <c r="A25" s="35" t="s">
        <v>176</v>
      </c>
      <c r="B25" s="7">
        <f>SUM(D25,F25,H25,J25)</f>
        <v>1</v>
      </c>
      <c r="C25" s="49">
        <f>IFERROR(B25/B$4*100,"-")</f>
        <v>0.31545741324921134</v>
      </c>
      <c r="D25" s="7">
        <v>0</v>
      </c>
      <c r="E25" s="7">
        <v>0</v>
      </c>
      <c r="F25" s="7">
        <v>0</v>
      </c>
      <c r="G25" s="7">
        <v>0</v>
      </c>
      <c r="H25" s="7">
        <v>0</v>
      </c>
      <c r="I25" s="7">
        <v>0</v>
      </c>
      <c r="J25" s="7">
        <v>1</v>
      </c>
      <c r="K25" s="49">
        <f>IFERROR(J25/J$4*100,"-")</f>
        <v>0.75187969924812026</v>
      </c>
    </row>
    <row r="26" spans="1:11">
      <c r="A26" s="471" t="s">
        <v>78</v>
      </c>
      <c r="B26" s="471"/>
      <c r="C26" s="472"/>
      <c r="D26" s="471"/>
      <c r="E26" s="471"/>
      <c r="F26" s="471"/>
      <c r="G26" s="471"/>
      <c r="H26" s="471"/>
      <c r="I26" s="471"/>
      <c r="J26" s="471"/>
      <c r="K26" s="471"/>
    </row>
    <row r="27" spans="1:11">
      <c r="A27" s="484" t="s">
        <v>79</v>
      </c>
      <c r="B27" s="484"/>
      <c r="C27" s="484"/>
      <c r="D27" s="484"/>
      <c r="E27" s="484"/>
      <c r="F27" s="484"/>
      <c r="G27" s="484"/>
      <c r="H27" s="484"/>
      <c r="I27" s="484"/>
      <c r="J27" s="484"/>
      <c r="K27" s="484"/>
    </row>
  </sheetData>
  <sortState ref="A7:K18">
    <sortCondition descending="1" ref="B7:B18"/>
  </sortState>
  <mergeCells count="9">
    <mergeCell ref="A27:K27"/>
    <mergeCell ref="A26:K26"/>
    <mergeCell ref="A1:K1"/>
    <mergeCell ref="A2:A3"/>
    <mergeCell ref="B2:C2"/>
    <mergeCell ref="D2:E2"/>
    <mergeCell ref="F2:G2"/>
    <mergeCell ref="H2:I2"/>
    <mergeCell ref="J2:K2"/>
  </mergeCells>
  <phoneticPr fontId="2" type="noConversion"/>
  <hyperlinks>
    <hyperlink ref="L1" location="本篇表次!A1" display="回本篇表次"/>
  </hyperlinks>
  <printOptions horizontalCentered="1"/>
  <pageMargins left="0.70866141732283472" right="0.70866141732283472" top="0.74803149606299213" bottom="0.74803149606299213" header="0.31496062992125984" footer="0.31496062992125984"/>
  <pageSetup paperSize="224" scale="7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24"/>
  <sheetViews>
    <sheetView showGridLines="0" zoomScale="120" zoomScaleNormal="120" workbookViewId="0">
      <pane xSplit="1" topLeftCell="B1" activePane="topRight" state="frozen"/>
      <selection activeCell="G17" sqref="G17"/>
      <selection pane="topRight" sqref="A1:K1"/>
    </sheetView>
  </sheetViews>
  <sheetFormatPr defaultColWidth="8.625" defaultRowHeight="16.5"/>
  <cols>
    <col min="1" max="1" width="26.875" customWidth="1"/>
    <col min="12" max="12" width="12.625" bestFit="1" customWidth="1"/>
  </cols>
  <sheetData>
    <row r="1" spans="1:12" ht="20.25">
      <c r="A1" s="435" t="s">
        <v>554</v>
      </c>
      <c r="B1" s="435"/>
      <c r="C1" s="435"/>
      <c r="D1" s="435"/>
      <c r="E1" s="435"/>
      <c r="F1" s="435"/>
      <c r="G1" s="435"/>
      <c r="H1" s="435"/>
      <c r="I1" s="435"/>
      <c r="J1" s="435"/>
      <c r="K1" s="435"/>
      <c r="L1" s="242" t="s">
        <v>548</v>
      </c>
    </row>
    <row r="2" spans="1:12" ht="20.100000000000001" customHeight="1">
      <c r="A2" s="137"/>
      <c r="B2" s="395" t="s">
        <v>37</v>
      </c>
      <c r="C2" s="395"/>
      <c r="D2" s="395" t="s">
        <v>38</v>
      </c>
      <c r="E2" s="395"/>
      <c r="F2" s="395" t="s">
        <v>356</v>
      </c>
      <c r="G2" s="395"/>
      <c r="H2" s="395" t="s">
        <v>40</v>
      </c>
      <c r="I2" s="395"/>
      <c r="J2" s="395" t="s">
        <v>41</v>
      </c>
      <c r="K2" s="395"/>
    </row>
    <row r="3" spans="1:12" ht="20.100000000000001" customHeight="1">
      <c r="A3" s="62"/>
      <c r="B3" s="8" t="s">
        <v>76</v>
      </c>
      <c r="C3" s="8" t="s">
        <v>60</v>
      </c>
      <c r="D3" s="8" t="s">
        <v>76</v>
      </c>
      <c r="E3" s="8" t="s">
        <v>60</v>
      </c>
      <c r="F3" s="8" t="s">
        <v>76</v>
      </c>
      <c r="G3" s="8" t="s">
        <v>60</v>
      </c>
      <c r="H3" s="8" t="s">
        <v>76</v>
      </c>
      <c r="I3" s="8" t="s">
        <v>60</v>
      </c>
      <c r="J3" s="8" t="s">
        <v>76</v>
      </c>
      <c r="K3" s="8" t="s">
        <v>60</v>
      </c>
    </row>
    <row r="4" spans="1:12" ht="20.100000000000001" customHeight="1">
      <c r="A4" s="24" t="s">
        <v>48</v>
      </c>
      <c r="B4" s="65">
        <f t="shared" ref="B4:K4" si="0">SUM(B5:B11)</f>
        <v>409</v>
      </c>
      <c r="C4" s="19">
        <f t="shared" si="0"/>
        <v>100</v>
      </c>
      <c r="D4" s="65">
        <f t="shared" si="0"/>
        <v>279</v>
      </c>
      <c r="E4" s="19">
        <f t="shared" si="0"/>
        <v>100</v>
      </c>
      <c r="F4" s="65">
        <f t="shared" si="0"/>
        <v>261</v>
      </c>
      <c r="G4" s="64">
        <f t="shared" si="0"/>
        <v>100</v>
      </c>
      <c r="H4" s="63">
        <f t="shared" si="0"/>
        <v>293</v>
      </c>
      <c r="I4" s="64">
        <f t="shared" si="0"/>
        <v>100</v>
      </c>
      <c r="J4" s="63">
        <f t="shared" si="0"/>
        <v>325</v>
      </c>
      <c r="K4" s="64">
        <f t="shared" si="0"/>
        <v>100.00000000000001</v>
      </c>
    </row>
    <row r="5" spans="1:12" ht="20.100000000000001" customHeight="1">
      <c r="A5" s="24" t="s">
        <v>363</v>
      </c>
      <c r="B5" s="65">
        <v>242</v>
      </c>
      <c r="C5" s="19">
        <f>IFERROR(B5/B$4*100,"-")</f>
        <v>59.168704156479215</v>
      </c>
      <c r="D5" s="65">
        <v>167</v>
      </c>
      <c r="E5" s="19">
        <f>IFERROR(D5/D$4*100,"-")</f>
        <v>59.856630824372758</v>
      </c>
      <c r="F5" s="65">
        <v>176</v>
      </c>
      <c r="G5" s="19">
        <f>IFERROR(F5/F$4*100,"-")</f>
        <v>67.432950191570882</v>
      </c>
      <c r="H5" s="65">
        <v>198</v>
      </c>
      <c r="I5" s="19">
        <f>IFERROR(H5/H$4*100,"-")</f>
        <v>67.576791808873722</v>
      </c>
      <c r="J5" s="65">
        <v>187</v>
      </c>
      <c r="K5" s="19">
        <f t="shared" ref="K5:K11" si="1">IFERROR(J5/J$4*100,"-")</f>
        <v>57.53846153846154</v>
      </c>
    </row>
    <row r="6" spans="1:12" ht="20.100000000000001" customHeight="1">
      <c r="A6" s="24" t="s">
        <v>364</v>
      </c>
      <c r="B6" s="65">
        <v>95</v>
      </c>
      <c r="C6" s="19">
        <f>IFERROR(B6/B$4*100,"-")</f>
        <v>23.227383863080682</v>
      </c>
      <c r="D6" s="65">
        <v>63</v>
      </c>
      <c r="E6" s="19">
        <f>IFERROR(D6/D$4*100,"-")</f>
        <v>22.58064516129032</v>
      </c>
      <c r="F6" s="65">
        <v>42</v>
      </c>
      <c r="G6" s="19">
        <f>IFERROR(F6/F$4*100,"-")</f>
        <v>16.091954022988507</v>
      </c>
      <c r="H6" s="65">
        <v>53</v>
      </c>
      <c r="I6" s="19">
        <f>IFERROR(H6/H$4*100,"-")</f>
        <v>18.088737201365188</v>
      </c>
      <c r="J6" s="65">
        <v>70</v>
      </c>
      <c r="K6" s="19">
        <f t="shared" si="1"/>
        <v>21.53846153846154</v>
      </c>
    </row>
    <row r="7" spans="1:12" ht="20.100000000000001" customHeight="1">
      <c r="A7" s="24" t="s">
        <v>365</v>
      </c>
      <c r="B7" s="65">
        <v>63</v>
      </c>
      <c r="C7" s="19">
        <f>IFERROR(B7/B$4*100,"-")</f>
        <v>15.403422982885084</v>
      </c>
      <c r="D7" s="65">
        <v>43</v>
      </c>
      <c r="E7" s="19">
        <f>IFERROR(D7/D$4*100,"-")</f>
        <v>15.412186379928317</v>
      </c>
      <c r="F7" s="65">
        <v>34</v>
      </c>
      <c r="G7" s="19">
        <f>IFERROR(F7/F$4*100,"-")</f>
        <v>13.026819923371647</v>
      </c>
      <c r="H7" s="65">
        <v>37</v>
      </c>
      <c r="I7" s="19">
        <f>IFERROR(H7/H$4*100,"-")</f>
        <v>12.627986348122866</v>
      </c>
      <c r="J7" s="65">
        <v>58</v>
      </c>
      <c r="K7" s="19">
        <f t="shared" si="1"/>
        <v>17.846153846153847</v>
      </c>
    </row>
    <row r="8" spans="1:12" ht="20.100000000000001" customHeight="1">
      <c r="A8" s="94" t="s">
        <v>542</v>
      </c>
      <c r="B8" s="65" t="s">
        <v>49</v>
      </c>
      <c r="C8" s="66" t="s">
        <v>49</v>
      </c>
      <c r="D8" s="65" t="s">
        <v>49</v>
      </c>
      <c r="E8" s="66" t="s">
        <v>49</v>
      </c>
      <c r="F8" s="65" t="s">
        <v>49</v>
      </c>
      <c r="G8" s="66" t="s">
        <v>49</v>
      </c>
      <c r="H8" s="65" t="s">
        <v>49</v>
      </c>
      <c r="I8" s="66" t="s">
        <v>49</v>
      </c>
      <c r="J8" s="65" t="s">
        <v>49</v>
      </c>
      <c r="K8" s="66" t="str">
        <f t="shared" si="1"/>
        <v>-</v>
      </c>
    </row>
    <row r="9" spans="1:12" ht="20.100000000000001" customHeight="1">
      <c r="A9" s="101" t="s">
        <v>167</v>
      </c>
      <c r="B9" s="65">
        <v>7</v>
      </c>
      <c r="C9" s="19">
        <f>IFERROR(B9/B$4*100,"-")</f>
        <v>1.7114914425427872</v>
      </c>
      <c r="D9" s="65">
        <v>4</v>
      </c>
      <c r="E9" s="19">
        <f>IFERROR(D9/D$4*100,"-")</f>
        <v>1.4336917562724014</v>
      </c>
      <c r="F9" s="65">
        <v>3</v>
      </c>
      <c r="G9" s="19">
        <f>IFERROR(F9/F$4*100,"-")</f>
        <v>1.1494252873563218</v>
      </c>
      <c r="H9" s="65">
        <v>3</v>
      </c>
      <c r="I9" s="19">
        <f>IFERROR(H9/H$4*100,"-")</f>
        <v>1.0238907849829351</v>
      </c>
      <c r="J9" s="65">
        <v>7</v>
      </c>
      <c r="K9" s="19">
        <f t="shared" si="1"/>
        <v>2.1538461538461537</v>
      </c>
    </row>
    <row r="10" spans="1:12" ht="20.100000000000001" customHeight="1">
      <c r="A10" s="24" t="s">
        <v>366</v>
      </c>
      <c r="B10" s="65" t="s">
        <v>49</v>
      </c>
      <c r="C10" s="66" t="str">
        <f>IFERROR(B10/B$4*100,"-")</f>
        <v>-</v>
      </c>
      <c r="D10" s="65">
        <v>1</v>
      </c>
      <c r="E10" s="19">
        <f>IFERROR(D10/D$4*100,"-")</f>
        <v>0.35842293906810035</v>
      </c>
      <c r="F10" s="65">
        <v>5</v>
      </c>
      <c r="G10" s="19">
        <f>IFERROR(F10/F$4*100,"-")</f>
        <v>1.9157088122605364</v>
      </c>
      <c r="H10" s="65">
        <v>2</v>
      </c>
      <c r="I10" s="19">
        <f>IFERROR(H10/H$4*100,"-")</f>
        <v>0.68259385665529015</v>
      </c>
      <c r="J10" s="65">
        <v>2</v>
      </c>
      <c r="K10" s="19">
        <f t="shared" si="1"/>
        <v>0.61538461538461542</v>
      </c>
    </row>
    <row r="11" spans="1:12" ht="20.100000000000001" customHeight="1" thickBot="1">
      <c r="A11" s="94" t="s">
        <v>543</v>
      </c>
      <c r="B11" s="65">
        <v>2</v>
      </c>
      <c r="C11" s="19">
        <v>0.48899755501222492</v>
      </c>
      <c r="D11" s="65">
        <v>1</v>
      </c>
      <c r="E11" s="19">
        <v>0.35842293906810035</v>
      </c>
      <c r="F11" s="65">
        <v>1</v>
      </c>
      <c r="G11" s="19">
        <v>0.38314176245210724</v>
      </c>
      <c r="H11" s="65" t="s">
        <v>49</v>
      </c>
      <c r="I11" s="66" t="s">
        <v>49</v>
      </c>
      <c r="J11" s="65">
        <v>1</v>
      </c>
      <c r="K11" s="19">
        <f t="shared" si="1"/>
        <v>0.30769230769230771</v>
      </c>
    </row>
    <row r="12" spans="1:12" ht="20.100000000000001" customHeight="1">
      <c r="A12" s="138"/>
      <c r="B12" s="473" t="s">
        <v>42</v>
      </c>
      <c r="C12" s="473"/>
      <c r="D12" s="473" t="s">
        <v>43</v>
      </c>
      <c r="E12" s="473"/>
      <c r="F12" s="473" t="s">
        <v>369</v>
      </c>
      <c r="G12" s="473"/>
      <c r="H12" s="473" t="s">
        <v>372</v>
      </c>
      <c r="I12" s="473"/>
      <c r="J12" s="473" t="s">
        <v>626</v>
      </c>
      <c r="K12" s="473"/>
    </row>
    <row r="13" spans="1:12" ht="20.100000000000001" customHeight="1">
      <c r="A13" s="139"/>
      <c r="B13" s="8" t="s">
        <v>76</v>
      </c>
      <c r="C13" s="8" t="s">
        <v>60</v>
      </c>
      <c r="D13" s="8" t="s">
        <v>76</v>
      </c>
      <c r="E13" s="8" t="s">
        <v>60</v>
      </c>
      <c r="F13" s="8" t="s">
        <v>76</v>
      </c>
      <c r="G13" s="8" t="s">
        <v>60</v>
      </c>
      <c r="H13" s="8" t="s">
        <v>76</v>
      </c>
      <c r="I13" s="8" t="s">
        <v>60</v>
      </c>
      <c r="J13" s="8" t="s">
        <v>76</v>
      </c>
      <c r="K13" s="8" t="s">
        <v>60</v>
      </c>
    </row>
    <row r="14" spans="1:12" ht="20.100000000000001" customHeight="1">
      <c r="A14" s="24" t="s">
        <v>48</v>
      </c>
      <c r="B14" s="63">
        <f t="shared" ref="B14:K14" si="2">SUM(B15:B21)</f>
        <v>236</v>
      </c>
      <c r="C14" s="64">
        <f t="shared" si="2"/>
        <v>99.999999999999986</v>
      </c>
      <c r="D14" s="63">
        <f t="shared" si="2"/>
        <v>301</v>
      </c>
      <c r="E14" s="64">
        <f t="shared" si="2"/>
        <v>100</v>
      </c>
      <c r="F14" s="63">
        <f t="shared" si="2"/>
        <v>350</v>
      </c>
      <c r="G14" s="64">
        <f t="shared" si="2"/>
        <v>99.999999999999986</v>
      </c>
      <c r="H14" s="65">
        <f t="shared" si="2"/>
        <v>381</v>
      </c>
      <c r="I14" s="73">
        <f t="shared" si="2"/>
        <v>100</v>
      </c>
      <c r="J14" s="65">
        <f t="shared" si="2"/>
        <v>317</v>
      </c>
      <c r="K14" s="73">
        <f t="shared" si="2"/>
        <v>100</v>
      </c>
    </row>
    <row r="15" spans="1:12" ht="20.100000000000001" customHeight="1">
      <c r="A15" s="24" t="s">
        <v>363</v>
      </c>
      <c r="B15" s="65">
        <v>149</v>
      </c>
      <c r="C15" s="19">
        <f t="shared" ref="C15:C21" si="3">IFERROR(B15/B$14*100,"-")</f>
        <v>63.135593220338983</v>
      </c>
      <c r="D15" s="65">
        <f>83+132</f>
        <v>215</v>
      </c>
      <c r="E15" s="19">
        <f t="shared" ref="E15:E21" si="4">IFERROR(D15/D$14*100,"-")</f>
        <v>71.428571428571431</v>
      </c>
      <c r="F15" s="65">
        <v>220</v>
      </c>
      <c r="G15" s="19">
        <f t="shared" ref="G15:G21" si="5">IFERROR(F15/F$14*100,"-")</f>
        <v>62.857142857142854</v>
      </c>
      <c r="H15" s="40">
        <v>234</v>
      </c>
      <c r="I15" s="141">
        <f t="shared" ref="I15:I21" si="6">IFERROR(H15/H$14*100,"-")</f>
        <v>61.417322834645674</v>
      </c>
      <c r="J15" s="40">
        <f>79+117</f>
        <v>196</v>
      </c>
      <c r="K15" s="141">
        <f t="shared" ref="K15:K20" si="7">IFERROR(J15/J$14*100,"-")</f>
        <v>61.829652996845432</v>
      </c>
    </row>
    <row r="16" spans="1:12" ht="20.100000000000001" customHeight="1">
      <c r="A16" s="24" t="s">
        <v>364</v>
      </c>
      <c r="B16" s="65">
        <v>47</v>
      </c>
      <c r="C16" s="19">
        <f t="shared" si="3"/>
        <v>19.915254237288135</v>
      </c>
      <c r="D16" s="65">
        <v>53</v>
      </c>
      <c r="E16" s="19">
        <f t="shared" si="4"/>
        <v>17.607973421926911</v>
      </c>
      <c r="F16" s="65">
        <v>94</v>
      </c>
      <c r="G16" s="19">
        <f t="shared" si="5"/>
        <v>26.857142857142858</v>
      </c>
      <c r="H16" s="40">
        <v>106</v>
      </c>
      <c r="I16" s="141">
        <f t="shared" si="6"/>
        <v>27.821522309711288</v>
      </c>
      <c r="J16" s="40">
        <v>82</v>
      </c>
      <c r="K16" s="141">
        <f t="shared" si="7"/>
        <v>25.86750788643533</v>
      </c>
    </row>
    <row r="17" spans="1:11" ht="20.100000000000001" customHeight="1">
      <c r="A17" s="24" t="s">
        <v>365</v>
      </c>
      <c r="B17" s="65">
        <v>35</v>
      </c>
      <c r="C17" s="19">
        <f t="shared" si="3"/>
        <v>14.83050847457627</v>
      </c>
      <c r="D17" s="65">
        <v>26</v>
      </c>
      <c r="E17" s="19">
        <f t="shared" si="4"/>
        <v>8.6378737541528228</v>
      </c>
      <c r="F17" s="65">
        <v>32</v>
      </c>
      <c r="G17" s="19">
        <f t="shared" si="5"/>
        <v>9.1428571428571423</v>
      </c>
      <c r="H17" s="40">
        <v>33</v>
      </c>
      <c r="I17" s="141">
        <f t="shared" si="6"/>
        <v>8.6614173228346463</v>
      </c>
      <c r="J17" s="40">
        <v>32</v>
      </c>
      <c r="K17" s="141">
        <f t="shared" si="7"/>
        <v>10.094637223974763</v>
      </c>
    </row>
    <row r="18" spans="1:11" ht="20.100000000000001" customHeight="1">
      <c r="A18" s="24" t="s">
        <v>368</v>
      </c>
      <c r="B18" s="65">
        <v>1</v>
      </c>
      <c r="C18" s="19">
        <f t="shared" si="3"/>
        <v>0.42372881355932202</v>
      </c>
      <c r="D18" s="65" t="s">
        <v>50</v>
      </c>
      <c r="E18" s="66" t="str">
        <f t="shared" si="4"/>
        <v>-</v>
      </c>
      <c r="F18" s="65" t="s">
        <v>220</v>
      </c>
      <c r="G18" s="66" t="str">
        <f t="shared" si="5"/>
        <v>-</v>
      </c>
      <c r="H18" s="40">
        <v>3</v>
      </c>
      <c r="I18" s="141">
        <f t="shared" si="6"/>
        <v>0.78740157480314954</v>
      </c>
      <c r="J18" s="40">
        <v>4</v>
      </c>
      <c r="K18" s="141">
        <f t="shared" si="7"/>
        <v>1.2618296529968454</v>
      </c>
    </row>
    <row r="19" spans="1:11" ht="20.100000000000001" customHeight="1">
      <c r="A19" s="101" t="s">
        <v>167</v>
      </c>
      <c r="B19" s="65">
        <v>1</v>
      </c>
      <c r="C19" s="19">
        <f t="shared" si="3"/>
        <v>0.42372881355932202</v>
      </c>
      <c r="D19" s="65">
        <v>4</v>
      </c>
      <c r="E19" s="19">
        <f t="shared" si="4"/>
        <v>1.3289036544850499</v>
      </c>
      <c r="F19" s="65">
        <v>2</v>
      </c>
      <c r="G19" s="19">
        <f t="shared" si="5"/>
        <v>0.5714285714285714</v>
      </c>
      <c r="H19" s="40">
        <v>1</v>
      </c>
      <c r="I19" s="141">
        <f t="shared" si="6"/>
        <v>0.26246719160104987</v>
      </c>
      <c r="J19" s="40">
        <v>2</v>
      </c>
      <c r="K19" s="141">
        <f t="shared" si="7"/>
        <v>0.63091482649842268</v>
      </c>
    </row>
    <row r="20" spans="1:11" ht="20.100000000000001" customHeight="1">
      <c r="A20" s="24" t="s">
        <v>366</v>
      </c>
      <c r="B20" s="65">
        <v>3</v>
      </c>
      <c r="C20" s="19">
        <f t="shared" si="3"/>
        <v>1.2711864406779663</v>
      </c>
      <c r="D20" s="65">
        <f>2+1</f>
        <v>3</v>
      </c>
      <c r="E20" s="19">
        <f t="shared" si="4"/>
        <v>0.99667774086378735</v>
      </c>
      <c r="F20" s="65">
        <v>2</v>
      </c>
      <c r="G20" s="19">
        <f t="shared" si="5"/>
        <v>0.5714285714285714</v>
      </c>
      <c r="H20" s="40">
        <v>2</v>
      </c>
      <c r="I20" s="141">
        <f t="shared" si="6"/>
        <v>0.52493438320209973</v>
      </c>
      <c r="J20" s="40">
        <v>1</v>
      </c>
      <c r="K20" s="141">
        <f t="shared" si="7"/>
        <v>0.31545741324921134</v>
      </c>
    </row>
    <row r="21" spans="1:11" ht="20.100000000000001" customHeight="1">
      <c r="A21" s="35" t="s">
        <v>367</v>
      </c>
      <c r="B21" s="69" t="s">
        <v>116</v>
      </c>
      <c r="C21" s="70" t="str">
        <f t="shared" si="3"/>
        <v>-</v>
      </c>
      <c r="D21" s="69" t="s">
        <v>50</v>
      </c>
      <c r="E21" s="70" t="str">
        <f t="shared" si="4"/>
        <v>-</v>
      </c>
      <c r="F21" s="69" t="s">
        <v>220</v>
      </c>
      <c r="G21" s="70" t="str">
        <f t="shared" si="5"/>
        <v>-</v>
      </c>
      <c r="H21" s="48">
        <v>2</v>
      </c>
      <c r="I21" s="307">
        <f t="shared" si="6"/>
        <v>0.52493438320209973</v>
      </c>
      <c r="J21" s="54">
        <v>0</v>
      </c>
      <c r="K21" s="54">
        <v>0</v>
      </c>
    </row>
    <row r="22" spans="1:11">
      <c r="A22" s="397" t="s">
        <v>370</v>
      </c>
      <c r="B22" s="397"/>
      <c r="C22" s="397"/>
      <c r="D22" s="397"/>
      <c r="E22" s="397"/>
      <c r="F22" s="397"/>
      <c r="G22" s="11"/>
      <c r="H22" s="11"/>
      <c r="I22" s="11"/>
      <c r="J22" s="140"/>
      <c r="K22" s="140"/>
    </row>
    <row r="23" spans="1:11">
      <c r="A23" s="494" t="s">
        <v>371</v>
      </c>
      <c r="B23" s="494"/>
      <c r="C23" s="494"/>
      <c r="D23" s="494"/>
      <c r="E23" s="494"/>
      <c r="F23" s="11"/>
      <c r="G23" s="11"/>
      <c r="H23" s="11"/>
      <c r="I23" s="11"/>
      <c r="J23" s="11"/>
      <c r="K23" s="11"/>
    </row>
    <row r="24" spans="1:11">
      <c r="A24" s="494"/>
      <c r="B24" s="494"/>
      <c r="C24" s="494"/>
      <c r="D24" s="494"/>
      <c r="E24" s="494"/>
      <c r="F24" s="11"/>
      <c r="G24" s="11"/>
      <c r="H24" s="11"/>
      <c r="I24" s="11"/>
      <c r="J24" s="11"/>
      <c r="K24" s="11"/>
    </row>
  </sheetData>
  <sortState ref="A5:K11">
    <sortCondition descending="1" ref="J5:J11"/>
  </sortState>
  <mergeCells count="13">
    <mergeCell ref="A1:K1"/>
    <mergeCell ref="B2:C2"/>
    <mergeCell ref="D2:E2"/>
    <mergeCell ref="F2:G2"/>
    <mergeCell ref="A23:E24"/>
    <mergeCell ref="H12:I12"/>
    <mergeCell ref="H2:I2"/>
    <mergeCell ref="J2:K2"/>
    <mergeCell ref="B12:C12"/>
    <mergeCell ref="D12:E12"/>
    <mergeCell ref="F12:G12"/>
    <mergeCell ref="A22:F22"/>
    <mergeCell ref="J12:K12"/>
  </mergeCells>
  <phoneticPr fontId="3" type="noConversion"/>
  <hyperlinks>
    <hyperlink ref="L1" location="本篇表次!A1" display="回本篇表次"/>
  </hyperlinks>
  <printOptions horizontalCentered="1"/>
  <pageMargins left="0.70866141732283472" right="0.70866141732283472" top="0.74803149606299213" bottom="0.74803149606299213" header="0.31496062992125984" footer="0.31496062992125984"/>
  <pageSetup paperSize="224" scale="83"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21"/>
  <sheetViews>
    <sheetView showGridLines="0" zoomScale="120" zoomScaleNormal="120" workbookViewId="0">
      <pane xSplit="1" topLeftCell="B1" activePane="topRight" state="frozen"/>
      <selection activeCell="G17" sqref="G17"/>
      <selection pane="topRight" sqref="A1:U1"/>
    </sheetView>
  </sheetViews>
  <sheetFormatPr defaultColWidth="7.625" defaultRowHeight="16.5"/>
  <cols>
    <col min="1" max="1" width="15.625" customWidth="1"/>
    <col min="17" max="17" width="8" bestFit="1" customWidth="1"/>
    <col min="21" max="21" width="7.625" customWidth="1"/>
    <col min="22" max="22" width="12.625" bestFit="1" customWidth="1"/>
  </cols>
  <sheetData>
    <row r="1" spans="1:22" ht="23.1" customHeight="1">
      <c r="A1" s="389" t="s">
        <v>555</v>
      </c>
      <c r="B1" s="389"/>
      <c r="C1" s="389"/>
      <c r="D1" s="389"/>
      <c r="E1" s="389"/>
      <c r="F1" s="389"/>
      <c r="G1" s="389"/>
      <c r="H1" s="389"/>
      <c r="I1" s="389"/>
      <c r="J1" s="389"/>
      <c r="K1" s="389"/>
      <c r="L1" s="389"/>
      <c r="M1" s="389"/>
      <c r="N1" s="389"/>
      <c r="O1" s="389"/>
      <c r="P1" s="389"/>
      <c r="Q1" s="389"/>
      <c r="R1" s="389"/>
      <c r="S1" s="389"/>
      <c r="T1" s="389"/>
      <c r="U1" s="389"/>
      <c r="V1" s="242" t="s">
        <v>548</v>
      </c>
    </row>
    <row r="2" spans="1:22" ht="20.100000000000001" customHeight="1">
      <c r="A2" s="482"/>
      <c r="B2" s="395" t="s">
        <v>37</v>
      </c>
      <c r="C2" s="395"/>
      <c r="D2" s="395"/>
      <c r="E2" s="395"/>
      <c r="F2" s="395" t="s">
        <v>376</v>
      </c>
      <c r="G2" s="395"/>
      <c r="H2" s="395"/>
      <c r="I2" s="395"/>
      <c r="J2" s="395" t="s">
        <v>356</v>
      </c>
      <c r="K2" s="395"/>
      <c r="L2" s="395"/>
      <c r="M2" s="395"/>
      <c r="N2" s="395" t="s">
        <v>40</v>
      </c>
      <c r="O2" s="395"/>
      <c r="P2" s="395"/>
      <c r="Q2" s="395"/>
      <c r="R2" s="395" t="s">
        <v>41</v>
      </c>
      <c r="S2" s="395"/>
      <c r="T2" s="395"/>
      <c r="U2" s="395"/>
    </row>
    <row r="3" spans="1:22" ht="20.100000000000001" customHeight="1">
      <c r="A3" s="483"/>
      <c r="B3" s="395" t="s">
        <v>156</v>
      </c>
      <c r="C3" s="395"/>
      <c r="D3" s="395"/>
      <c r="E3" s="482" t="s">
        <v>157</v>
      </c>
      <c r="F3" s="395" t="s">
        <v>156</v>
      </c>
      <c r="G3" s="395"/>
      <c r="H3" s="395"/>
      <c r="I3" s="482" t="s">
        <v>157</v>
      </c>
      <c r="J3" s="395" t="s">
        <v>156</v>
      </c>
      <c r="K3" s="395"/>
      <c r="L3" s="395"/>
      <c r="M3" s="482" t="s">
        <v>157</v>
      </c>
      <c r="N3" s="395" t="s">
        <v>156</v>
      </c>
      <c r="O3" s="395"/>
      <c r="P3" s="395"/>
      <c r="Q3" s="482" t="s">
        <v>157</v>
      </c>
      <c r="R3" s="395" t="s">
        <v>156</v>
      </c>
      <c r="S3" s="395"/>
      <c r="T3" s="395"/>
      <c r="U3" s="482" t="s">
        <v>157</v>
      </c>
    </row>
    <row r="4" spans="1:22" ht="20.100000000000001" customHeight="1">
      <c r="A4" s="483"/>
      <c r="B4" s="8" t="s">
        <v>48</v>
      </c>
      <c r="C4" s="86" t="s">
        <v>53</v>
      </c>
      <c r="D4" s="86" t="s">
        <v>54</v>
      </c>
      <c r="E4" s="474"/>
      <c r="F4" s="8" t="s">
        <v>48</v>
      </c>
      <c r="G4" s="86" t="s">
        <v>53</v>
      </c>
      <c r="H4" s="86" t="s">
        <v>54</v>
      </c>
      <c r="I4" s="474"/>
      <c r="J4" s="8" t="s">
        <v>48</v>
      </c>
      <c r="K4" s="86" t="s">
        <v>53</v>
      </c>
      <c r="L4" s="86" t="s">
        <v>54</v>
      </c>
      <c r="M4" s="474"/>
      <c r="N4" s="8" t="s">
        <v>48</v>
      </c>
      <c r="O4" s="86" t="s">
        <v>53</v>
      </c>
      <c r="P4" s="86" t="s">
        <v>54</v>
      </c>
      <c r="Q4" s="474"/>
      <c r="R4" s="8" t="s">
        <v>48</v>
      </c>
      <c r="S4" s="86" t="s">
        <v>53</v>
      </c>
      <c r="T4" s="86" t="s">
        <v>54</v>
      </c>
      <c r="U4" s="474"/>
    </row>
    <row r="5" spans="1:22" ht="20.100000000000001" customHeight="1">
      <c r="A5" s="24" t="s">
        <v>48</v>
      </c>
      <c r="B5" s="76">
        <v>409</v>
      </c>
      <c r="C5" s="74">
        <v>376</v>
      </c>
      <c r="D5" s="74">
        <v>33</v>
      </c>
      <c r="E5" s="75">
        <f>SUM(E6:E10)</f>
        <v>100.00000000000001</v>
      </c>
      <c r="F5" s="76">
        <v>279</v>
      </c>
      <c r="G5" s="76">
        <v>261</v>
      </c>
      <c r="H5" s="76">
        <v>18</v>
      </c>
      <c r="I5" s="75">
        <f>SUM(I6:I10)</f>
        <v>99.999999999999986</v>
      </c>
      <c r="J5" s="74">
        <v>261</v>
      </c>
      <c r="K5" s="74">
        <v>244</v>
      </c>
      <c r="L5" s="74">
        <v>17</v>
      </c>
      <c r="M5" s="75">
        <f>SUM(M6:M10)</f>
        <v>100</v>
      </c>
      <c r="N5" s="74">
        <f t="shared" ref="N5:N10" si="0">SUM(O5,P5)</f>
        <v>293</v>
      </c>
      <c r="O5" s="74">
        <v>270</v>
      </c>
      <c r="P5" s="74">
        <v>23</v>
      </c>
      <c r="Q5" s="75">
        <f>SUM(Q6:Q10)</f>
        <v>99.999999999999986</v>
      </c>
      <c r="R5" s="74">
        <f t="shared" ref="R5" si="1">SUM(S5,T5)</f>
        <v>325</v>
      </c>
      <c r="S5" s="74">
        <v>300</v>
      </c>
      <c r="T5" s="74">
        <v>25</v>
      </c>
      <c r="U5" s="75">
        <f>SUM(U6:U10)</f>
        <v>100</v>
      </c>
    </row>
    <row r="6" spans="1:22" ht="20.100000000000001" customHeight="1">
      <c r="A6" s="24" t="s">
        <v>158</v>
      </c>
      <c r="B6" s="74">
        <v>142</v>
      </c>
      <c r="C6" s="74">
        <v>131</v>
      </c>
      <c r="D6" s="74">
        <v>11</v>
      </c>
      <c r="E6" s="75">
        <f>B6/B$5*100</f>
        <v>34.718826405867972</v>
      </c>
      <c r="F6" s="74">
        <v>81</v>
      </c>
      <c r="G6" s="74">
        <v>79</v>
      </c>
      <c r="H6" s="74">
        <v>2</v>
      </c>
      <c r="I6" s="75">
        <f>F6/F$5*100</f>
        <v>29.032258064516132</v>
      </c>
      <c r="J6" s="74">
        <v>77</v>
      </c>
      <c r="K6" s="74">
        <v>71</v>
      </c>
      <c r="L6" s="74">
        <v>6</v>
      </c>
      <c r="M6" s="75">
        <f>J6/J$5*100</f>
        <v>29.501915708812259</v>
      </c>
      <c r="N6" s="74">
        <f t="shared" si="0"/>
        <v>74</v>
      </c>
      <c r="O6" s="74">
        <v>69</v>
      </c>
      <c r="P6" s="74">
        <v>5</v>
      </c>
      <c r="Q6" s="75">
        <f>N6/N$5*100</f>
        <v>25.255972696245731</v>
      </c>
      <c r="R6" s="74">
        <f>SUM(S6,T6)</f>
        <v>98</v>
      </c>
      <c r="S6" s="74">
        <v>92</v>
      </c>
      <c r="T6" s="74">
        <v>6</v>
      </c>
      <c r="U6" s="75">
        <f>R6/R$5*100</f>
        <v>30.153846153846153</v>
      </c>
    </row>
    <row r="7" spans="1:22" ht="20.100000000000001" customHeight="1">
      <c r="A7" s="24" t="s">
        <v>160</v>
      </c>
      <c r="B7" s="74">
        <v>127</v>
      </c>
      <c r="C7" s="74">
        <v>112</v>
      </c>
      <c r="D7" s="74">
        <v>15</v>
      </c>
      <c r="E7" s="75">
        <f>B7/B$5*100</f>
        <v>31.051344743276282</v>
      </c>
      <c r="F7" s="74">
        <v>93</v>
      </c>
      <c r="G7" s="74">
        <v>85</v>
      </c>
      <c r="H7" s="74">
        <v>8</v>
      </c>
      <c r="I7" s="75">
        <f>F7/F$5*100</f>
        <v>33.333333333333329</v>
      </c>
      <c r="J7" s="74">
        <v>77</v>
      </c>
      <c r="K7" s="74">
        <v>70</v>
      </c>
      <c r="L7" s="74">
        <v>7</v>
      </c>
      <c r="M7" s="75">
        <f>J7/J$5*100</f>
        <v>29.501915708812259</v>
      </c>
      <c r="N7" s="74">
        <f t="shared" si="0"/>
        <v>106</v>
      </c>
      <c r="O7" s="74">
        <v>94</v>
      </c>
      <c r="P7" s="74">
        <v>12</v>
      </c>
      <c r="Q7" s="75">
        <f>N7/N$5*100</f>
        <v>36.177474402730375</v>
      </c>
      <c r="R7" s="74">
        <f>SUM(S7,T7)</f>
        <v>91</v>
      </c>
      <c r="S7" s="74">
        <v>80</v>
      </c>
      <c r="T7" s="74">
        <v>11</v>
      </c>
      <c r="U7" s="75">
        <f>R7/R$5*100</f>
        <v>28.000000000000004</v>
      </c>
    </row>
    <row r="8" spans="1:22" ht="20.100000000000001" customHeight="1">
      <c r="A8" s="24" t="s">
        <v>159</v>
      </c>
      <c r="B8" s="74">
        <v>75</v>
      </c>
      <c r="C8" s="74">
        <v>71</v>
      </c>
      <c r="D8" s="74">
        <v>4</v>
      </c>
      <c r="E8" s="75">
        <f>B8/B$5*100</f>
        <v>18.337408312958438</v>
      </c>
      <c r="F8" s="74">
        <v>55</v>
      </c>
      <c r="G8" s="74">
        <v>50</v>
      </c>
      <c r="H8" s="74">
        <v>5</v>
      </c>
      <c r="I8" s="75">
        <f>F8/F$5*100</f>
        <v>19.713261648745519</v>
      </c>
      <c r="J8" s="74">
        <v>64</v>
      </c>
      <c r="K8" s="74">
        <v>62</v>
      </c>
      <c r="L8" s="74">
        <v>2</v>
      </c>
      <c r="M8" s="75">
        <f>J8/J$5*100</f>
        <v>24.521072796934863</v>
      </c>
      <c r="N8" s="74">
        <f t="shared" si="0"/>
        <v>67</v>
      </c>
      <c r="O8" s="74">
        <v>63</v>
      </c>
      <c r="P8" s="74">
        <v>4</v>
      </c>
      <c r="Q8" s="75">
        <f>N8/N$5*100</f>
        <v>22.866894197952217</v>
      </c>
      <c r="R8" s="74">
        <f>SUM(S8,T8)</f>
        <v>67</v>
      </c>
      <c r="S8" s="74">
        <v>63</v>
      </c>
      <c r="T8" s="74">
        <v>4</v>
      </c>
      <c r="U8" s="75">
        <f>R8/R$5*100</f>
        <v>20.615384615384617</v>
      </c>
    </row>
    <row r="9" spans="1:22" ht="20.100000000000001" customHeight="1">
      <c r="A9" s="24" t="s">
        <v>161</v>
      </c>
      <c r="B9" s="74">
        <v>52</v>
      </c>
      <c r="C9" s="74">
        <v>49</v>
      </c>
      <c r="D9" s="74">
        <v>3</v>
      </c>
      <c r="E9" s="75">
        <f>B9/B$5*100</f>
        <v>12.713936430317849</v>
      </c>
      <c r="F9" s="74">
        <v>33</v>
      </c>
      <c r="G9" s="74">
        <v>31</v>
      </c>
      <c r="H9" s="74">
        <v>2</v>
      </c>
      <c r="I9" s="75">
        <f>F9/F$5*100</f>
        <v>11.827956989247312</v>
      </c>
      <c r="J9" s="74">
        <v>26</v>
      </c>
      <c r="K9" s="74">
        <v>25</v>
      </c>
      <c r="L9" s="74">
        <v>1</v>
      </c>
      <c r="M9" s="75">
        <f>J9/J$5*100</f>
        <v>9.9616858237547881</v>
      </c>
      <c r="N9" s="74">
        <f>SUM(O9,P9)</f>
        <v>30</v>
      </c>
      <c r="O9" s="74">
        <v>28</v>
      </c>
      <c r="P9" s="74">
        <v>2</v>
      </c>
      <c r="Q9" s="75">
        <f>N9/N$5*100</f>
        <v>10.238907849829351</v>
      </c>
      <c r="R9" s="74">
        <f>SUM(S9,T9)</f>
        <v>52</v>
      </c>
      <c r="S9" s="74">
        <v>48</v>
      </c>
      <c r="T9" s="74">
        <v>4</v>
      </c>
      <c r="U9" s="75">
        <f>R9/R$5*100</f>
        <v>16</v>
      </c>
    </row>
    <row r="10" spans="1:22" ht="20.100000000000001" customHeight="1" thickBot="1">
      <c r="A10" s="37" t="s">
        <v>162</v>
      </c>
      <c r="B10" s="226">
        <v>13</v>
      </c>
      <c r="C10" s="226">
        <v>13</v>
      </c>
      <c r="D10" s="61" t="s">
        <v>49</v>
      </c>
      <c r="E10" s="227">
        <f>B10/B$5*100</f>
        <v>3.1784841075794623</v>
      </c>
      <c r="F10" s="226">
        <v>17</v>
      </c>
      <c r="G10" s="226">
        <v>16</v>
      </c>
      <c r="H10" s="226">
        <v>1</v>
      </c>
      <c r="I10" s="227">
        <f>F10/F$5*100</f>
        <v>6.0931899641577063</v>
      </c>
      <c r="J10" s="226">
        <v>17</v>
      </c>
      <c r="K10" s="226">
        <v>16</v>
      </c>
      <c r="L10" s="226">
        <v>1</v>
      </c>
      <c r="M10" s="227">
        <f>J10/J$5*100</f>
        <v>6.5134099616858236</v>
      </c>
      <c r="N10" s="226">
        <f t="shared" si="0"/>
        <v>16</v>
      </c>
      <c r="O10" s="226">
        <v>16</v>
      </c>
      <c r="P10" s="61" t="s">
        <v>49</v>
      </c>
      <c r="Q10" s="227">
        <f>N10/N$5*100</f>
        <v>5.4607508532423212</v>
      </c>
      <c r="R10" s="226">
        <f>SUM(S10,T10)</f>
        <v>17</v>
      </c>
      <c r="S10" s="226">
        <v>17</v>
      </c>
      <c r="T10" s="61" t="s">
        <v>116</v>
      </c>
      <c r="U10" s="227">
        <f>R10/R$5*100</f>
        <v>5.2307692307692308</v>
      </c>
    </row>
    <row r="11" spans="1:22" ht="20.100000000000001" customHeight="1">
      <c r="A11" s="495"/>
      <c r="B11" s="473" t="s">
        <v>375</v>
      </c>
      <c r="C11" s="473"/>
      <c r="D11" s="473"/>
      <c r="E11" s="473"/>
      <c r="F11" s="473" t="s">
        <v>163</v>
      </c>
      <c r="G11" s="473"/>
      <c r="H11" s="473"/>
      <c r="I11" s="473"/>
      <c r="J11" s="473" t="s">
        <v>357</v>
      </c>
      <c r="K11" s="473"/>
      <c r="L11" s="473"/>
      <c r="M11" s="473"/>
      <c r="N11" s="473" t="s">
        <v>360</v>
      </c>
      <c r="O11" s="473"/>
      <c r="P11" s="473"/>
      <c r="Q11" s="473"/>
      <c r="R11" s="473" t="s">
        <v>624</v>
      </c>
      <c r="S11" s="473"/>
      <c r="T11" s="473"/>
      <c r="U11" s="473"/>
    </row>
    <row r="12" spans="1:22" ht="20.100000000000001" customHeight="1">
      <c r="A12" s="483"/>
      <c r="B12" s="395" t="s">
        <v>156</v>
      </c>
      <c r="C12" s="395"/>
      <c r="D12" s="395"/>
      <c r="E12" s="482" t="s">
        <v>157</v>
      </c>
      <c r="F12" s="395" t="s">
        <v>156</v>
      </c>
      <c r="G12" s="395"/>
      <c r="H12" s="395"/>
      <c r="I12" s="482" t="s">
        <v>157</v>
      </c>
      <c r="J12" s="395" t="s">
        <v>156</v>
      </c>
      <c r="K12" s="395"/>
      <c r="L12" s="395"/>
      <c r="M12" s="482" t="s">
        <v>157</v>
      </c>
      <c r="N12" s="395" t="s">
        <v>156</v>
      </c>
      <c r="O12" s="395"/>
      <c r="P12" s="395"/>
      <c r="Q12" s="482" t="s">
        <v>157</v>
      </c>
      <c r="R12" s="395" t="s">
        <v>156</v>
      </c>
      <c r="S12" s="395"/>
      <c r="T12" s="395"/>
      <c r="U12" s="482" t="s">
        <v>157</v>
      </c>
    </row>
    <row r="13" spans="1:22" ht="20.100000000000001" customHeight="1">
      <c r="A13" s="483"/>
      <c r="B13" s="8" t="s">
        <v>48</v>
      </c>
      <c r="C13" s="86" t="s">
        <v>53</v>
      </c>
      <c r="D13" s="86" t="s">
        <v>54</v>
      </c>
      <c r="E13" s="474"/>
      <c r="F13" s="8" t="s">
        <v>48</v>
      </c>
      <c r="G13" s="86" t="s">
        <v>53</v>
      </c>
      <c r="H13" s="86" t="s">
        <v>54</v>
      </c>
      <c r="I13" s="474"/>
      <c r="J13" s="8" t="s">
        <v>48</v>
      </c>
      <c r="K13" s="86" t="s">
        <v>53</v>
      </c>
      <c r="L13" s="86" t="s">
        <v>54</v>
      </c>
      <c r="M13" s="474"/>
      <c r="N13" s="8" t="s">
        <v>48</v>
      </c>
      <c r="O13" s="86" t="s">
        <v>53</v>
      </c>
      <c r="P13" s="86" t="s">
        <v>54</v>
      </c>
      <c r="Q13" s="474"/>
      <c r="R13" s="8" t="s">
        <v>48</v>
      </c>
      <c r="S13" s="86" t="s">
        <v>53</v>
      </c>
      <c r="T13" s="86" t="s">
        <v>54</v>
      </c>
      <c r="U13" s="474"/>
    </row>
    <row r="14" spans="1:22" ht="20.100000000000001" customHeight="1">
      <c r="A14" s="24" t="s">
        <v>48</v>
      </c>
      <c r="B14" s="76">
        <f t="shared" ref="B14" si="2">SUM(C14,D14)</f>
        <v>236</v>
      </c>
      <c r="C14" s="74">
        <v>210</v>
      </c>
      <c r="D14" s="74">
        <v>26</v>
      </c>
      <c r="E14" s="75">
        <f>SUM(E15:E19)</f>
        <v>100</v>
      </c>
      <c r="F14" s="76">
        <f t="shared" ref="F14" si="3">SUM(G14:H14)</f>
        <v>301</v>
      </c>
      <c r="G14" s="74">
        <f>SUM(G15:G19)</f>
        <v>284</v>
      </c>
      <c r="H14" s="74">
        <f>SUM(H15:H19)</f>
        <v>17</v>
      </c>
      <c r="I14" s="75">
        <f>SUM(I15:I19)</f>
        <v>99.999999999999986</v>
      </c>
      <c r="J14" s="76">
        <f t="shared" ref="J14" si="4">SUM(K14:L14)</f>
        <v>350</v>
      </c>
      <c r="K14" s="74">
        <f>SUM(K15:K19)</f>
        <v>325</v>
      </c>
      <c r="L14" s="74">
        <f>SUM(L15:L19)</f>
        <v>25</v>
      </c>
      <c r="M14" s="75">
        <f>SUM(M15:M19)</f>
        <v>100.00000000000001</v>
      </c>
      <c r="N14" s="76">
        <f>SUM(O14:P14)</f>
        <v>381</v>
      </c>
      <c r="O14" s="74">
        <v>354</v>
      </c>
      <c r="P14" s="74">
        <v>27</v>
      </c>
      <c r="Q14" s="75">
        <f>SUM(Q15:Q19)</f>
        <v>100</v>
      </c>
      <c r="R14" s="76">
        <f>SUM(S14:T14)</f>
        <v>317</v>
      </c>
      <c r="S14" s="74">
        <v>300</v>
      </c>
      <c r="T14" s="74">
        <v>17</v>
      </c>
      <c r="U14" s="75">
        <f>SUM(U15:U19)</f>
        <v>100</v>
      </c>
    </row>
    <row r="15" spans="1:22" ht="20.100000000000001" customHeight="1">
      <c r="A15" s="24" t="s">
        <v>158</v>
      </c>
      <c r="B15" s="74">
        <f>SUM(C15,D15)</f>
        <v>65</v>
      </c>
      <c r="C15" s="74">
        <v>61</v>
      </c>
      <c r="D15" s="74">
        <v>4</v>
      </c>
      <c r="E15" s="75">
        <f>B15/B$14*100</f>
        <v>27.542372881355931</v>
      </c>
      <c r="F15" s="74">
        <f>SUM(G15:H15)</f>
        <v>98</v>
      </c>
      <c r="G15" s="74">
        <v>92</v>
      </c>
      <c r="H15" s="74">
        <v>6</v>
      </c>
      <c r="I15" s="75">
        <f>F15/F$14*100</f>
        <v>32.558139534883722</v>
      </c>
      <c r="J15" s="74">
        <f>SUM(K15:L15)</f>
        <v>159</v>
      </c>
      <c r="K15" s="74">
        <v>148</v>
      </c>
      <c r="L15" s="74">
        <v>11</v>
      </c>
      <c r="M15" s="75">
        <f>J15/J$14*100</f>
        <v>45.428571428571431</v>
      </c>
      <c r="N15" s="74">
        <f>SUM(O15:P15)</f>
        <v>160</v>
      </c>
      <c r="O15" s="74">
        <v>153</v>
      </c>
      <c r="P15" s="74">
        <v>7</v>
      </c>
      <c r="Q15" s="75">
        <f>N15/N$14*100</f>
        <v>41.99475065616798</v>
      </c>
      <c r="R15" s="74">
        <f>SUM(S15:T15)</f>
        <v>120</v>
      </c>
      <c r="S15" s="74">
        <v>115</v>
      </c>
      <c r="T15" s="74">
        <v>5</v>
      </c>
      <c r="U15" s="286">
        <f>R15/R$14*100</f>
        <v>37.854889589905362</v>
      </c>
    </row>
    <row r="16" spans="1:22" ht="20.100000000000001" customHeight="1">
      <c r="A16" s="24" t="s">
        <v>160</v>
      </c>
      <c r="B16" s="74">
        <f>SUM(C16,D16)</f>
        <v>78</v>
      </c>
      <c r="C16" s="74">
        <v>67</v>
      </c>
      <c r="D16" s="74">
        <v>11</v>
      </c>
      <c r="E16" s="75">
        <f>B16/B$14*100</f>
        <v>33.050847457627121</v>
      </c>
      <c r="F16" s="74">
        <f>SUM(G16:H16)</f>
        <v>97</v>
      </c>
      <c r="G16" s="74">
        <v>91</v>
      </c>
      <c r="H16" s="74">
        <v>6</v>
      </c>
      <c r="I16" s="75">
        <f>F16/F$14*100</f>
        <v>32.225913621262457</v>
      </c>
      <c r="J16" s="74">
        <f>SUM(K16:L16)</f>
        <v>86</v>
      </c>
      <c r="K16" s="74">
        <v>76</v>
      </c>
      <c r="L16" s="74">
        <v>10</v>
      </c>
      <c r="M16" s="75">
        <f>J16/J$14*100</f>
        <v>24.571428571428573</v>
      </c>
      <c r="N16" s="74">
        <f t="shared" ref="N16:N19" si="5">SUM(O16:P16)</f>
        <v>89</v>
      </c>
      <c r="O16" s="74">
        <v>79</v>
      </c>
      <c r="P16" s="74">
        <v>10</v>
      </c>
      <c r="Q16" s="75">
        <f>N16/N$14*100</f>
        <v>23.359580052493438</v>
      </c>
      <c r="R16" s="74">
        <f t="shared" ref="R16:R19" si="6">SUM(S16:T16)</f>
        <v>79</v>
      </c>
      <c r="S16" s="74">
        <v>74</v>
      </c>
      <c r="T16" s="74">
        <v>5</v>
      </c>
      <c r="U16" s="286">
        <f t="shared" ref="U16:U19" si="7">R16/R$14*100</f>
        <v>24.921135646687699</v>
      </c>
    </row>
    <row r="17" spans="1:21" ht="20.100000000000001" customHeight="1">
      <c r="A17" s="24" t="s">
        <v>159</v>
      </c>
      <c r="B17" s="74">
        <f>SUM(C17,D17)</f>
        <v>63</v>
      </c>
      <c r="C17" s="74">
        <v>55</v>
      </c>
      <c r="D17" s="74">
        <v>8</v>
      </c>
      <c r="E17" s="75">
        <f>B17/B$14*100</f>
        <v>26.694915254237291</v>
      </c>
      <c r="F17" s="74">
        <f>SUM(G17:H17)</f>
        <v>64</v>
      </c>
      <c r="G17" s="74">
        <v>60</v>
      </c>
      <c r="H17" s="74">
        <v>4</v>
      </c>
      <c r="I17" s="75">
        <f>F17/F$14*100</f>
        <v>21.262458471760798</v>
      </c>
      <c r="J17" s="74">
        <f>SUM(K17:L17)</f>
        <v>66</v>
      </c>
      <c r="K17" s="74">
        <v>64</v>
      </c>
      <c r="L17" s="74">
        <v>2</v>
      </c>
      <c r="M17" s="75">
        <f>J17/J$14*100</f>
        <v>18.857142857142858</v>
      </c>
      <c r="N17" s="74">
        <f t="shared" si="5"/>
        <v>81</v>
      </c>
      <c r="O17" s="74">
        <v>76</v>
      </c>
      <c r="P17" s="74">
        <v>5</v>
      </c>
      <c r="Q17" s="75">
        <f>N17/N$14*100</f>
        <v>21.259842519685041</v>
      </c>
      <c r="R17" s="74">
        <f t="shared" si="6"/>
        <v>77</v>
      </c>
      <c r="S17" s="74">
        <v>72</v>
      </c>
      <c r="T17" s="74">
        <v>5</v>
      </c>
      <c r="U17" s="286">
        <f t="shared" si="7"/>
        <v>24.290220820189273</v>
      </c>
    </row>
    <row r="18" spans="1:21" ht="20.100000000000001" customHeight="1">
      <c r="A18" s="24" t="s">
        <v>161</v>
      </c>
      <c r="B18" s="74">
        <f>SUM(C18,D18)</f>
        <v>18</v>
      </c>
      <c r="C18" s="74">
        <v>15</v>
      </c>
      <c r="D18" s="74">
        <v>3</v>
      </c>
      <c r="E18" s="75">
        <f>B18/B$14*100</f>
        <v>7.6271186440677967</v>
      </c>
      <c r="F18" s="74">
        <f>SUM(G18:H18)</f>
        <v>19</v>
      </c>
      <c r="G18" s="74">
        <v>19</v>
      </c>
      <c r="H18" s="36" t="s">
        <v>116</v>
      </c>
      <c r="I18" s="75">
        <f>F18/F$14*100</f>
        <v>6.3122923588039868</v>
      </c>
      <c r="J18" s="74">
        <f>SUM(K18:L18)</f>
        <v>15</v>
      </c>
      <c r="K18" s="74">
        <v>15</v>
      </c>
      <c r="L18" s="36" t="s">
        <v>116</v>
      </c>
      <c r="M18" s="75">
        <f>J18/J$14*100</f>
        <v>4.2857142857142856</v>
      </c>
      <c r="N18" s="74">
        <f t="shared" si="5"/>
        <v>26</v>
      </c>
      <c r="O18" s="74">
        <v>24</v>
      </c>
      <c r="P18" s="74">
        <v>2</v>
      </c>
      <c r="Q18" s="75">
        <f>N18/N$14*100</f>
        <v>6.8241469816272966</v>
      </c>
      <c r="R18" s="74">
        <f t="shared" si="6"/>
        <v>22</v>
      </c>
      <c r="S18" s="74">
        <v>22</v>
      </c>
      <c r="T18" s="36" t="s">
        <v>49</v>
      </c>
      <c r="U18" s="286">
        <f t="shared" si="7"/>
        <v>6.9400630914826493</v>
      </c>
    </row>
    <row r="19" spans="1:21" ht="20.100000000000001" customHeight="1">
      <c r="A19" s="35" t="s">
        <v>162</v>
      </c>
      <c r="B19" s="77">
        <f>SUM(C19,D19)</f>
        <v>12</v>
      </c>
      <c r="C19" s="77">
        <v>12</v>
      </c>
      <c r="D19" s="49" t="s">
        <v>116</v>
      </c>
      <c r="E19" s="78">
        <f>B19/B$14*100</f>
        <v>5.0847457627118651</v>
      </c>
      <c r="F19" s="77">
        <f>SUM(G19:H19)</f>
        <v>23</v>
      </c>
      <c r="G19" s="77">
        <v>22</v>
      </c>
      <c r="H19" s="77">
        <v>1</v>
      </c>
      <c r="I19" s="78">
        <f>F19/F$14*100</f>
        <v>7.6411960132890364</v>
      </c>
      <c r="J19" s="77">
        <f>SUM(K19:L19)</f>
        <v>24</v>
      </c>
      <c r="K19" s="77">
        <v>22</v>
      </c>
      <c r="L19" s="77">
        <v>2</v>
      </c>
      <c r="M19" s="78">
        <f>J19/J$14*100</f>
        <v>6.8571428571428577</v>
      </c>
      <c r="N19" s="77">
        <f t="shared" si="5"/>
        <v>25</v>
      </c>
      <c r="O19" s="77">
        <v>22</v>
      </c>
      <c r="P19" s="77">
        <v>3</v>
      </c>
      <c r="Q19" s="78">
        <f>N19/N$14*100</f>
        <v>6.5616797900262469</v>
      </c>
      <c r="R19" s="77">
        <f t="shared" si="6"/>
        <v>19</v>
      </c>
      <c r="S19" s="77">
        <v>17</v>
      </c>
      <c r="T19" s="77">
        <v>2</v>
      </c>
      <c r="U19" s="287">
        <f t="shared" si="7"/>
        <v>5.9936908517350158</v>
      </c>
    </row>
    <row r="20" spans="1:21">
      <c r="A20" s="396" t="s">
        <v>358</v>
      </c>
      <c r="B20" s="396"/>
      <c r="C20" s="396"/>
      <c r="D20" s="396"/>
      <c r="E20" s="11"/>
      <c r="F20" s="11"/>
      <c r="G20" s="11"/>
      <c r="H20" s="11"/>
      <c r="I20" s="11"/>
      <c r="J20" s="11"/>
      <c r="K20" s="11"/>
      <c r="L20" s="11"/>
      <c r="M20" s="11"/>
      <c r="N20" s="228"/>
      <c r="O20" s="228"/>
      <c r="P20" s="228"/>
      <c r="Q20" s="11"/>
      <c r="R20" s="11"/>
      <c r="S20" s="11"/>
      <c r="T20" s="11"/>
      <c r="U20" s="11"/>
    </row>
    <row r="21" spans="1:21">
      <c r="A21" s="489" t="s">
        <v>359</v>
      </c>
      <c r="B21" s="484"/>
      <c r="C21" s="484"/>
      <c r="D21" s="484"/>
      <c r="E21" s="484"/>
      <c r="F21" s="484"/>
      <c r="G21" s="11"/>
      <c r="H21" s="11"/>
      <c r="I21" s="11"/>
      <c r="J21" s="11"/>
      <c r="K21" s="11"/>
      <c r="L21" s="11"/>
      <c r="M21" s="11"/>
      <c r="N21" s="11"/>
      <c r="O21" s="11"/>
      <c r="P21" s="11"/>
      <c r="Q21" s="11"/>
      <c r="R21" s="11"/>
      <c r="S21" s="11"/>
      <c r="T21" s="11"/>
      <c r="U21" s="11"/>
    </row>
  </sheetData>
  <sortState ref="A15:U19">
    <sortCondition descending="1" ref="S15:S19"/>
  </sortState>
  <mergeCells count="35">
    <mergeCell ref="A21:F21"/>
    <mergeCell ref="N11:Q11"/>
    <mergeCell ref="N12:P12"/>
    <mergeCell ref="Q12:Q13"/>
    <mergeCell ref="A11:A13"/>
    <mergeCell ref="M12:M13"/>
    <mergeCell ref="J3:L3"/>
    <mergeCell ref="R11:U11"/>
    <mergeCell ref="R12:T12"/>
    <mergeCell ref="U12:U13"/>
    <mergeCell ref="A20:D20"/>
    <mergeCell ref="B12:D12"/>
    <mergeCell ref="E12:E13"/>
    <mergeCell ref="F12:H12"/>
    <mergeCell ref="I12:I13"/>
    <mergeCell ref="J12:L12"/>
    <mergeCell ref="B11:E11"/>
    <mergeCell ref="F11:I11"/>
    <mergeCell ref="J11:M11"/>
    <mergeCell ref="A1:U1"/>
    <mergeCell ref="A2:A4"/>
    <mergeCell ref="B2:E2"/>
    <mergeCell ref="F2:I2"/>
    <mergeCell ref="J2:M2"/>
    <mergeCell ref="M3:M4"/>
    <mergeCell ref="N2:Q2"/>
    <mergeCell ref="Q3:Q4"/>
    <mergeCell ref="R2:U2"/>
    <mergeCell ref="U3:U4"/>
    <mergeCell ref="R3:T3"/>
    <mergeCell ref="N3:P3"/>
    <mergeCell ref="B3:D3"/>
    <mergeCell ref="E3:E4"/>
    <mergeCell ref="F3:H3"/>
    <mergeCell ref="I3:I4"/>
  </mergeCells>
  <phoneticPr fontId="37" type="noConversion"/>
  <hyperlinks>
    <hyperlink ref="V1" location="本篇表次!A1" display="回本篇表次"/>
  </hyperlinks>
  <printOptions horizontalCentered="1" verticalCentered="1"/>
  <pageMargins left="0.70866141732283472" right="0.70866141732283472" top="0.74803149606299213" bottom="0.74803149606299213" header="0.31496062992125984" footer="0.31496062992125984"/>
  <pageSetup paperSize="224" scale="57"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23"/>
  <sheetViews>
    <sheetView showGridLines="0" zoomScale="120" zoomScaleNormal="120" workbookViewId="0">
      <pane xSplit="1" topLeftCell="B1" activePane="topRight" state="frozen"/>
      <selection activeCell="G17" sqref="G17"/>
      <selection pane="topRight" sqref="A1:K1"/>
    </sheetView>
  </sheetViews>
  <sheetFormatPr defaultColWidth="9" defaultRowHeight="16.5"/>
  <cols>
    <col min="1" max="1" width="18.125" customWidth="1"/>
    <col min="12" max="12" width="12.625" bestFit="1" customWidth="1"/>
  </cols>
  <sheetData>
    <row r="1" spans="1:12" ht="21.95" customHeight="1">
      <c r="A1" s="435" t="s">
        <v>556</v>
      </c>
      <c r="B1" s="435"/>
      <c r="C1" s="435"/>
      <c r="D1" s="435"/>
      <c r="E1" s="435"/>
      <c r="F1" s="435"/>
      <c r="G1" s="435"/>
      <c r="H1" s="435"/>
      <c r="I1" s="435"/>
      <c r="J1" s="435"/>
      <c r="K1" s="435"/>
      <c r="L1" s="242" t="s">
        <v>548</v>
      </c>
    </row>
    <row r="2" spans="1:12" ht="20.100000000000001" customHeight="1">
      <c r="A2" s="16"/>
      <c r="B2" s="479" t="s">
        <v>55</v>
      </c>
      <c r="C2" s="480"/>
      <c r="D2" s="479" t="s">
        <v>56</v>
      </c>
      <c r="E2" s="480"/>
      <c r="F2" s="479" t="s">
        <v>57</v>
      </c>
      <c r="G2" s="395"/>
      <c r="H2" s="479" t="s">
        <v>58</v>
      </c>
      <c r="I2" s="395"/>
      <c r="J2" s="479" t="s">
        <v>69</v>
      </c>
      <c r="K2" s="395"/>
    </row>
    <row r="3" spans="1:12" ht="20.100000000000001" customHeight="1">
      <c r="A3" s="4"/>
      <c r="B3" s="8" t="s">
        <v>59</v>
      </c>
      <c r="C3" s="8" t="s">
        <v>60</v>
      </c>
      <c r="D3" s="8" t="s">
        <v>59</v>
      </c>
      <c r="E3" s="8" t="s">
        <v>60</v>
      </c>
      <c r="F3" s="8" t="s">
        <v>59</v>
      </c>
      <c r="G3" s="8" t="s">
        <v>60</v>
      </c>
      <c r="H3" s="8" t="s">
        <v>59</v>
      </c>
      <c r="I3" s="8" t="s">
        <v>60</v>
      </c>
      <c r="J3" s="8" t="s">
        <v>59</v>
      </c>
      <c r="K3" s="8" t="s">
        <v>60</v>
      </c>
    </row>
    <row r="4" spans="1:12" ht="20.100000000000001" customHeight="1">
      <c r="A4" s="56" t="s">
        <v>61</v>
      </c>
      <c r="B4" s="18">
        <f>SUM(B7:B11)</f>
        <v>406</v>
      </c>
      <c r="C4" s="19">
        <v>100</v>
      </c>
      <c r="D4" s="18">
        <f>SUM(D7:D11)</f>
        <v>276</v>
      </c>
      <c r="E4" s="19">
        <v>100</v>
      </c>
      <c r="F4" s="18">
        <f>SUM(F7:F11)</f>
        <v>260</v>
      </c>
      <c r="G4" s="19">
        <v>100</v>
      </c>
      <c r="H4" s="18">
        <f>SUM(H7:H11)</f>
        <v>291</v>
      </c>
      <c r="I4" s="19">
        <f t="shared" ref="I4" si="0">SUM(I7:I11)</f>
        <v>100.00000000000001</v>
      </c>
      <c r="J4" s="18">
        <f>SUM(J7:J11)</f>
        <v>324</v>
      </c>
      <c r="K4" s="19">
        <f>SUM(K7:K11)</f>
        <v>100</v>
      </c>
    </row>
    <row r="5" spans="1:12" ht="20.100000000000001" customHeight="1">
      <c r="A5" s="57" t="s">
        <v>62</v>
      </c>
      <c r="B5" s="18">
        <v>374</v>
      </c>
      <c r="C5" s="19">
        <f>IFERROR(B5/B$4*100,"-")</f>
        <v>92.118226600985224</v>
      </c>
      <c r="D5" s="18">
        <v>258</v>
      </c>
      <c r="E5" s="19">
        <f>IFERROR(D5/D$4*100,"-")</f>
        <v>93.478260869565219</v>
      </c>
      <c r="F5" s="18">
        <v>243</v>
      </c>
      <c r="G5" s="19">
        <f>IFERROR(F5/F$4*100,"-")</f>
        <v>93.461538461538467</v>
      </c>
      <c r="H5" s="18">
        <v>269</v>
      </c>
      <c r="I5" s="19">
        <f>IFERROR(H5/H$4*100,"-")</f>
        <v>92.439862542955325</v>
      </c>
      <c r="J5" s="18">
        <v>299</v>
      </c>
      <c r="K5" s="19">
        <f t="shared" ref="K5:K11" si="1">IFERROR(J5/J$4*100,"-")</f>
        <v>92.283950617283949</v>
      </c>
    </row>
    <row r="6" spans="1:12" ht="20.100000000000001" customHeight="1">
      <c r="A6" s="59" t="s">
        <v>63</v>
      </c>
      <c r="B6" s="22">
        <v>32</v>
      </c>
      <c r="C6" s="23">
        <f t="shared" ref="C6:C10" si="2">IFERROR(B6/B$4*100,"-")</f>
        <v>7.8817733990147785</v>
      </c>
      <c r="D6" s="22">
        <v>18</v>
      </c>
      <c r="E6" s="23">
        <f t="shared" ref="E6:E10" si="3">IFERROR(D6/D$4*100,"-")</f>
        <v>6.5217391304347823</v>
      </c>
      <c r="F6" s="22">
        <v>17</v>
      </c>
      <c r="G6" s="23">
        <f t="shared" ref="G6:G10" si="4">IFERROR(F6/F$4*100,"-")</f>
        <v>6.5384615384615392</v>
      </c>
      <c r="H6" s="22">
        <v>22</v>
      </c>
      <c r="I6" s="23">
        <f t="shared" ref="I6:I10" si="5">IFERROR(H6/H$4*100,"-")</f>
        <v>7.5601374570446733</v>
      </c>
      <c r="J6" s="22">
        <v>25</v>
      </c>
      <c r="K6" s="23">
        <f t="shared" si="1"/>
        <v>7.716049382716049</v>
      </c>
    </row>
    <row r="7" spans="1:12" ht="20.100000000000001" customHeight="1">
      <c r="A7" s="24" t="s">
        <v>64</v>
      </c>
      <c r="B7" s="18">
        <v>214</v>
      </c>
      <c r="C7" s="19">
        <f t="shared" si="2"/>
        <v>52.709359605911331</v>
      </c>
      <c r="D7" s="18">
        <v>146</v>
      </c>
      <c r="E7" s="19">
        <f t="shared" si="3"/>
        <v>52.89855072463768</v>
      </c>
      <c r="F7" s="18">
        <v>156</v>
      </c>
      <c r="G7" s="19">
        <f t="shared" si="4"/>
        <v>60</v>
      </c>
      <c r="H7" s="18">
        <v>171</v>
      </c>
      <c r="I7" s="19">
        <f t="shared" si="5"/>
        <v>58.762886597938149</v>
      </c>
      <c r="J7" s="18">
        <v>187</v>
      </c>
      <c r="K7" s="19">
        <f t="shared" si="1"/>
        <v>57.716049382716051</v>
      </c>
    </row>
    <row r="8" spans="1:12" ht="20.100000000000001" customHeight="1">
      <c r="A8" s="24" t="s">
        <v>65</v>
      </c>
      <c r="B8" s="18">
        <v>139</v>
      </c>
      <c r="C8" s="19">
        <f t="shared" si="2"/>
        <v>34.236453201970448</v>
      </c>
      <c r="D8" s="18">
        <v>99</v>
      </c>
      <c r="E8" s="19">
        <f t="shared" si="3"/>
        <v>35.869565217391305</v>
      </c>
      <c r="F8" s="18">
        <v>79</v>
      </c>
      <c r="G8" s="19">
        <f t="shared" si="4"/>
        <v>30.384615384615383</v>
      </c>
      <c r="H8" s="18">
        <v>89</v>
      </c>
      <c r="I8" s="19">
        <f t="shared" si="5"/>
        <v>30.584192439862544</v>
      </c>
      <c r="J8" s="18">
        <v>100</v>
      </c>
      <c r="K8" s="19">
        <f t="shared" si="1"/>
        <v>30.864197530864196</v>
      </c>
    </row>
    <row r="9" spans="1:12" ht="20.100000000000001" customHeight="1">
      <c r="A9" s="24" t="s">
        <v>66</v>
      </c>
      <c r="B9" s="18">
        <v>40</v>
      </c>
      <c r="C9" s="19">
        <f t="shared" si="2"/>
        <v>9.8522167487684733</v>
      </c>
      <c r="D9" s="18">
        <v>26</v>
      </c>
      <c r="E9" s="19">
        <f t="shared" si="3"/>
        <v>9.4202898550724647</v>
      </c>
      <c r="F9" s="18">
        <v>23</v>
      </c>
      <c r="G9" s="19">
        <f t="shared" si="4"/>
        <v>8.8461538461538467</v>
      </c>
      <c r="H9" s="18">
        <v>22</v>
      </c>
      <c r="I9" s="19">
        <f t="shared" si="5"/>
        <v>7.5601374570446733</v>
      </c>
      <c r="J9" s="18">
        <v>28</v>
      </c>
      <c r="K9" s="19">
        <f t="shared" si="1"/>
        <v>8.6419753086419746</v>
      </c>
    </row>
    <row r="10" spans="1:12" ht="20.100000000000001" customHeight="1">
      <c r="A10" s="24" t="s">
        <v>67</v>
      </c>
      <c r="B10" s="18">
        <v>13</v>
      </c>
      <c r="C10" s="19">
        <f t="shared" si="2"/>
        <v>3.201970443349754</v>
      </c>
      <c r="D10" s="18">
        <v>5</v>
      </c>
      <c r="E10" s="19">
        <f t="shared" si="3"/>
        <v>1.8115942028985508</v>
      </c>
      <c r="F10" s="18">
        <v>2</v>
      </c>
      <c r="G10" s="19">
        <f t="shared" si="4"/>
        <v>0.76923076923076927</v>
      </c>
      <c r="H10" s="18">
        <v>9</v>
      </c>
      <c r="I10" s="19">
        <f t="shared" si="5"/>
        <v>3.0927835051546393</v>
      </c>
      <c r="J10" s="18">
        <v>7</v>
      </c>
      <c r="K10" s="19">
        <f t="shared" si="1"/>
        <v>2.1604938271604937</v>
      </c>
    </row>
    <row r="11" spans="1:12" ht="20.100000000000001" customHeight="1" thickBot="1">
      <c r="A11" s="24" t="s">
        <v>68</v>
      </c>
      <c r="B11" s="25" t="s">
        <v>544</v>
      </c>
      <c r="C11" s="68" t="s">
        <v>544</v>
      </c>
      <c r="D11" s="25" t="s">
        <v>544</v>
      </c>
      <c r="E11" s="68" t="s">
        <v>544</v>
      </c>
      <c r="F11" s="25" t="s">
        <v>544</v>
      </c>
      <c r="G11" s="68" t="s">
        <v>544</v>
      </c>
      <c r="H11" s="25" t="s">
        <v>544</v>
      </c>
      <c r="I11" s="68" t="s">
        <v>544</v>
      </c>
      <c r="J11" s="25">
        <v>2</v>
      </c>
      <c r="K11" s="27">
        <f t="shared" si="1"/>
        <v>0.61728395061728392</v>
      </c>
    </row>
    <row r="12" spans="1:12" ht="20.100000000000001" customHeight="1">
      <c r="A12" s="28"/>
      <c r="B12" s="463" t="s">
        <v>70</v>
      </c>
      <c r="C12" s="481"/>
      <c r="D12" s="463" t="s">
        <v>71</v>
      </c>
      <c r="E12" s="481"/>
      <c r="F12" s="463" t="s">
        <v>72</v>
      </c>
      <c r="G12" s="474"/>
      <c r="H12" s="483" t="s">
        <v>73</v>
      </c>
      <c r="I12" s="497"/>
      <c r="J12" s="483" t="s">
        <v>624</v>
      </c>
      <c r="K12" s="497"/>
    </row>
    <row r="13" spans="1:12" ht="20.100000000000001" customHeight="1">
      <c r="A13" s="4"/>
      <c r="B13" s="8" t="s">
        <v>59</v>
      </c>
      <c r="C13" s="8" t="s">
        <v>60</v>
      </c>
      <c r="D13" s="8" t="s">
        <v>59</v>
      </c>
      <c r="E13" s="8" t="s">
        <v>60</v>
      </c>
      <c r="F13" s="8" t="s">
        <v>59</v>
      </c>
      <c r="G13" s="8" t="s">
        <v>60</v>
      </c>
      <c r="H13" s="8" t="s">
        <v>59</v>
      </c>
      <c r="I13" s="8" t="s">
        <v>60</v>
      </c>
      <c r="J13" s="8" t="s">
        <v>59</v>
      </c>
      <c r="K13" s="8" t="s">
        <v>60</v>
      </c>
    </row>
    <row r="14" spans="1:12" ht="20.100000000000001" customHeight="1">
      <c r="A14" s="56" t="s">
        <v>61</v>
      </c>
      <c r="B14" s="18">
        <f t="shared" ref="B14:K14" si="6">SUM(B17:B21)</f>
        <v>233</v>
      </c>
      <c r="C14" s="19">
        <f t="shared" si="6"/>
        <v>100</v>
      </c>
      <c r="D14" s="29">
        <f t="shared" si="6"/>
        <v>301</v>
      </c>
      <c r="E14" s="30">
        <f t="shared" si="6"/>
        <v>100</v>
      </c>
      <c r="F14" s="29">
        <f t="shared" si="6"/>
        <v>347</v>
      </c>
      <c r="G14" s="30">
        <f t="shared" si="6"/>
        <v>99.999999999999986</v>
      </c>
      <c r="H14" s="56">
        <f t="shared" si="6"/>
        <v>379</v>
      </c>
      <c r="I14" s="84">
        <f t="shared" si="6"/>
        <v>100.00000000000001</v>
      </c>
      <c r="J14" s="56">
        <f t="shared" si="6"/>
        <v>317</v>
      </c>
      <c r="K14" s="84">
        <f t="shared" si="6"/>
        <v>99.999999999999986</v>
      </c>
    </row>
    <row r="15" spans="1:12" ht="20.100000000000001" customHeight="1">
      <c r="A15" s="57" t="s">
        <v>62</v>
      </c>
      <c r="B15" s="18">
        <v>207</v>
      </c>
      <c r="C15" s="19">
        <f t="shared" ref="C15:C21" si="7">IFERROR(B15/B$14*100,"-")</f>
        <v>88.841201716738198</v>
      </c>
      <c r="D15" s="100">
        <v>284</v>
      </c>
      <c r="E15" s="19">
        <f t="shared" ref="E15:E21" si="8">IFERROR(D15/D$14*100,"-")</f>
        <v>94.352159468438529</v>
      </c>
      <c r="F15" s="100">
        <v>322</v>
      </c>
      <c r="G15" s="19">
        <f t="shared" ref="G15:G21" si="9">IFERROR(F15/F$14*100,"-")</f>
        <v>92.795389048991353</v>
      </c>
      <c r="H15" s="56">
        <v>353</v>
      </c>
      <c r="I15" s="84">
        <f t="shared" ref="I15:I21" si="10">IFERROR(H15/H$14*100,"-")</f>
        <v>93.139841688654357</v>
      </c>
      <c r="J15" s="56">
        <v>300</v>
      </c>
      <c r="K15" s="84">
        <f>IFERROR(J15/J$14*100,"-")</f>
        <v>94.637223974763401</v>
      </c>
    </row>
    <row r="16" spans="1:12" ht="20.100000000000001" customHeight="1">
      <c r="A16" s="59" t="s">
        <v>63</v>
      </c>
      <c r="B16" s="22">
        <v>26</v>
      </c>
      <c r="C16" s="23">
        <f t="shared" si="7"/>
        <v>11.158798283261802</v>
      </c>
      <c r="D16" s="206">
        <v>17</v>
      </c>
      <c r="E16" s="23">
        <f t="shared" si="8"/>
        <v>5.6478405315614619</v>
      </c>
      <c r="F16" s="206">
        <v>25</v>
      </c>
      <c r="G16" s="23">
        <f t="shared" si="9"/>
        <v>7.2046109510086458</v>
      </c>
      <c r="H16" s="91">
        <v>26</v>
      </c>
      <c r="I16" s="92">
        <f t="shared" si="10"/>
        <v>6.8601583113456464</v>
      </c>
      <c r="J16" s="91">
        <v>17</v>
      </c>
      <c r="K16" s="92">
        <f>IFERROR(J16/J$14*100,"-")</f>
        <v>5.3627760252365935</v>
      </c>
    </row>
    <row r="17" spans="1:11" ht="20.100000000000001" customHeight="1">
      <c r="A17" s="34" t="s">
        <v>64</v>
      </c>
      <c r="B17" s="18">
        <v>144</v>
      </c>
      <c r="C17" s="19">
        <f t="shared" si="7"/>
        <v>61.802575107296143</v>
      </c>
      <c r="D17" s="211">
        <f>166+14</f>
        <v>180</v>
      </c>
      <c r="E17" s="19">
        <f t="shared" si="8"/>
        <v>59.800664451827245</v>
      </c>
      <c r="F17" s="100">
        <v>197</v>
      </c>
      <c r="G17" s="19">
        <f t="shared" si="9"/>
        <v>56.77233429394812</v>
      </c>
      <c r="H17" s="56">
        <v>227</v>
      </c>
      <c r="I17" s="84">
        <f t="shared" si="10"/>
        <v>59.894459102902374</v>
      </c>
      <c r="J17" s="56">
        <v>170</v>
      </c>
      <c r="K17" s="84">
        <f>IFERROR(J17/J$14*100,"-")</f>
        <v>53.627760252365931</v>
      </c>
    </row>
    <row r="18" spans="1:11" ht="20.100000000000001" customHeight="1">
      <c r="A18" s="24" t="s">
        <v>65</v>
      </c>
      <c r="B18" s="18">
        <v>59</v>
      </c>
      <c r="C18" s="19">
        <f t="shared" si="7"/>
        <v>25.321888412017167</v>
      </c>
      <c r="D18" s="100">
        <f>88+1</f>
        <v>89</v>
      </c>
      <c r="E18" s="19">
        <f t="shared" si="8"/>
        <v>29.568106312292358</v>
      </c>
      <c r="F18" s="100">
        <v>103</v>
      </c>
      <c r="G18" s="19">
        <f t="shared" si="9"/>
        <v>29.682997118155619</v>
      </c>
      <c r="H18" s="56">
        <v>100</v>
      </c>
      <c r="I18" s="84">
        <f t="shared" si="10"/>
        <v>26.385224274406333</v>
      </c>
      <c r="J18" s="56">
        <v>107</v>
      </c>
      <c r="K18" s="84">
        <f t="shared" ref="K18:K21" si="11">IFERROR(J18/J$14*100,"-")</f>
        <v>33.753943217665615</v>
      </c>
    </row>
    <row r="19" spans="1:11" ht="20.100000000000001" customHeight="1">
      <c r="A19" s="24" t="s">
        <v>66</v>
      </c>
      <c r="B19" s="18">
        <v>25</v>
      </c>
      <c r="C19" s="19">
        <f t="shared" si="7"/>
        <v>10.72961373390558</v>
      </c>
      <c r="D19" s="100">
        <f>21+2</f>
        <v>23</v>
      </c>
      <c r="E19" s="19">
        <f t="shared" si="8"/>
        <v>7.6411960132890364</v>
      </c>
      <c r="F19" s="100">
        <v>40</v>
      </c>
      <c r="G19" s="19">
        <f t="shared" si="9"/>
        <v>11.527377521613833</v>
      </c>
      <c r="H19" s="56">
        <v>49</v>
      </c>
      <c r="I19" s="84">
        <f t="shared" si="10"/>
        <v>12.928759894459102</v>
      </c>
      <c r="J19" s="56">
        <v>31</v>
      </c>
      <c r="K19" s="84">
        <f t="shared" si="11"/>
        <v>9.7791798107255516</v>
      </c>
    </row>
    <row r="20" spans="1:11" ht="20.100000000000001" customHeight="1">
      <c r="A20" s="24" t="s">
        <v>67</v>
      </c>
      <c r="B20" s="18">
        <v>3</v>
      </c>
      <c r="C20" s="19">
        <f t="shared" si="7"/>
        <v>1.2875536480686696</v>
      </c>
      <c r="D20" s="100">
        <v>4</v>
      </c>
      <c r="E20" s="19">
        <f t="shared" si="8"/>
        <v>1.3289036544850499</v>
      </c>
      <c r="F20" s="100">
        <v>5</v>
      </c>
      <c r="G20" s="19">
        <f t="shared" si="9"/>
        <v>1.4409221902017291</v>
      </c>
      <c r="H20" s="56">
        <v>2</v>
      </c>
      <c r="I20" s="84">
        <f t="shared" si="10"/>
        <v>0.52770448548812665</v>
      </c>
      <c r="J20" s="56">
        <v>8</v>
      </c>
      <c r="K20" s="84">
        <f t="shared" si="11"/>
        <v>2.5236593059936907</v>
      </c>
    </row>
    <row r="21" spans="1:11" ht="20.100000000000001" customHeight="1">
      <c r="A21" s="35" t="s">
        <v>68</v>
      </c>
      <c r="B21" s="22">
        <v>2</v>
      </c>
      <c r="C21" s="23">
        <f t="shared" si="7"/>
        <v>0.85836909871244638</v>
      </c>
      <c r="D21" s="206">
        <v>5</v>
      </c>
      <c r="E21" s="23">
        <f t="shared" si="8"/>
        <v>1.6611295681063125</v>
      </c>
      <c r="F21" s="206">
        <v>2</v>
      </c>
      <c r="G21" s="23">
        <f t="shared" si="9"/>
        <v>0.57636887608069165</v>
      </c>
      <c r="H21" s="91">
        <v>1</v>
      </c>
      <c r="I21" s="92">
        <f t="shared" si="10"/>
        <v>0.26385224274406333</v>
      </c>
      <c r="J21" s="91">
        <v>1</v>
      </c>
      <c r="K21" s="92">
        <f t="shared" si="11"/>
        <v>0.31545741324921134</v>
      </c>
    </row>
    <row r="22" spans="1:11" ht="15" customHeight="1">
      <c r="A22" s="496" t="s">
        <v>74</v>
      </c>
      <c r="B22" s="496"/>
      <c r="C22" s="496"/>
      <c r="D22" s="496"/>
      <c r="E22" s="496"/>
      <c r="F22" s="496"/>
      <c r="G22" s="496"/>
      <c r="H22" s="496"/>
      <c r="I22" s="11"/>
      <c r="J22" s="11"/>
      <c r="K22" s="11"/>
    </row>
    <row r="23" spans="1:11" ht="32.1" customHeight="1">
      <c r="A23" s="496"/>
      <c r="B23" s="496"/>
      <c r="C23" s="496"/>
      <c r="D23" s="496"/>
      <c r="E23" s="496"/>
      <c r="F23" s="496"/>
      <c r="G23" s="496"/>
      <c r="H23" s="496"/>
      <c r="I23" s="11"/>
      <c r="J23" s="11"/>
      <c r="K23" s="11"/>
    </row>
  </sheetData>
  <mergeCells count="12">
    <mergeCell ref="A1:K1"/>
    <mergeCell ref="A22:H23"/>
    <mergeCell ref="J2:K2"/>
    <mergeCell ref="H2:I2"/>
    <mergeCell ref="F2:G2"/>
    <mergeCell ref="D2:E2"/>
    <mergeCell ref="B2:C2"/>
    <mergeCell ref="B12:C12"/>
    <mergeCell ref="D12:E12"/>
    <mergeCell ref="F12:G12"/>
    <mergeCell ref="H12:I12"/>
    <mergeCell ref="J12:K12"/>
  </mergeCells>
  <phoneticPr fontId="2" type="noConversion"/>
  <hyperlinks>
    <hyperlink ref="L1" location="本篇表次!A1" display="回本篇表次"/>
  </hyperlinks>
  <printOptions horizontalCentered="1"/>
  <pageMargins left="0.70866141732283472" right="0.70866141732283472" top="0.74803149606299213" bottom="0.74803149606299213" header="0.31496062992125984" footer="0.31496062992125984"/>
  <pageSetup paperSize="224" scale="8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0"/>
  <sheetViews>
    <sheetView showGridLines="0" zoomScale="120" zoomScaleNormal="120" workbookViewId="0">
      <pane xSplit="1" topLeftCell="B1" activePane="topRight" state="frozen"/>
      <selection activeCell="G17" sqref="G17"/>
      <selection pane="topRight" sqref="A1:K1"/>
    </sheetView>
  </sheetViews>
  <sheetFormatPr defaultColWidth="9" defaultRowHeight="16.5"/>
  <cols>
    <col min="1" max="1" width="15" customWidth="1"/>
    <col min="3" max="3" width="9" customWidth="1"/>
    <col min="5" max="5" width="9" customWidth="1"/>
    <col min="7" max="7" width="9" customWidth="1"/>
    <col min="9" max="9" width="9" customWidth="1"/>
    <col min="11" max="11" width="9" customWidth="1"/>
    <col min="12" max="12" width="12.625" bestFit="1" customWidth="1"/>
  </cols>
  <sheetData>
    <row r="1" spans="1:12" ht="24" customHeight="1">
      <c r="A1" s="498" t="s">
        <v>557</v>
      </c>
      <c r="B1" s="498"/>
      <c r="C1" s="498"/>
      <c r="D1" s="498"/>
      <c r="E1" s="498"/>
      <c r="F1" s="498"/>
      <c r="G1" s="498"/>
      <c r="H1" s="498"/>
      <c r="I1" s="498"/>
      <c r="J1" s="498"/>
      <c r="K1" s="498"/>
      <c r="L1" s="242" t="s">
        <v>548</v>
      </c>
    </row>
    <row r="2" spans="1:12" ht="18.95" customHeight="1">
      <c r="A2" s="212"/>
      <c r="B2" s="368" t="s">
        <v>93</v>
      </c>
      <c r="C2" s="368"/>
      <c r="D2" s="368" t="s">
        <v>80</v>
      </c>
      <c r="E2" s="368"/>
      <c r="F2" s="368" t="s">
        <v>81</v>
      </c>
      <c r="G2" s="368"/>
      <c r="H2" s="368" t="s">
        <v>92</v>
      </c>
      <c r="I2" s="368"/>
      <c r="J2" s="368" t="s">
        <v>632</v>
      </c>
      <c r="K2" s="368"/>
    </row>
    <row r="3" spans="1:12" ht="18.95" customHeight="1">
      <c r="A3" s="40"/>
      <c r="B3" s="207" t="s">
        <v>82</v>
      </c>
      <c r="C3" s="207" t="s">
        <v>75</v>
      </c>
      <c r="D3" s="207" t="s">
        <v>82</v>
      </c>
      <c r="E3" s="207" t="s">
        <v>75</v>
      </c>
      <c r="F3" s="207" t="s">
        <v>82</v>
      </c>
      <c r="G3" s="207" t="s">
        <v>75</v>
      </c>
      <c r="H3" s="207" t="s">
        <v>82</v>
      </c>
      <c r="I3" s="207" t="s">
        <v>75</v>
      </c>
      <c r="J3" s="207" t="s">
        <v>82</v>
      </c>
      <c r="K3" s="207" t="s">
        <v>75</v>
      </c>
    </row>
    <row r="4" spans="1:12" ht="18.95" customHeight="1">
      <c r="A4" s="153" t="s">
        <v>83</v>
      </c>
      <c r="B4" s="40">
        <v>409</v>
      </c>
      <c r="C4" s="41">
        <v>100</v>
      </c>
      <c r="D4" s="40">
        <v>279</v>
      </c>
      <c r="E4" s="41">
        <v>100</v>
      </c>
      <c r="F4" s="42">
        <v>261</v>
      </c>
      <c r="G4" s="43">
        <v>100.00000000000001</v>
      </c>
      <c r="H4" s="40">
        <v>293</v>
      </c>
      <c r="I4" s="41">
        <v>100</v>
      </c>
      <c r="J4" s="40">
        <v>325</v>
      </c>
      <c r="K4" s="41">
        <v>100</v>
      </c>
    </row>
    <row r="5" spans="1:12" ht="18.95" customHeight="1">
      <c r="A5" s="153" t="s">
        <v>84</v>
      </c>
      <c r="B5" s="40">
        <v>346</v>
      </c>
      <c r="C5" s="41">
        <v>84.59657701711491</v>
      </c>
      <c r="D5" s="40">
        <v>246</v>
      </c>
      <c r="E5" s="41">
        <v>88.172043010752688</v>
      </c>
      <c r="F5" s="42">
        <v>229</v>
      </c>
      <c r="G5" s="43">
        <v>87.739463601532563</v>
      </c>
      <c r="H5" s="40">
        <v>255</v>
      </c>
      <c r="I5" s="41">
        <v>87.030716723549489</v>
      </c>
      <c r="J5" s="40">
        <v>283</v>
      </c>
      <c r="K5" s="41">
        <v>87.07692307692308</v>
      </c>
    </row>
    <row r="6" spans="1:12" ht="18.95" customHeight="1">
      <c r="A6" s="153" t="s">
        <v>85</v>
      </c>
      <c r="B6" s="40">
        <v>37</v>
      </c>
      <c r="C6" s="41">
        <v>9.0464547677261606</v>
      </c>
      <c r="D6" s="40">
        <v>20</v>
      </c>
      <c r="E6" s="41">
        <v>7.1684587813620064</v>
      </c>
      <c r="F6" s="42">
        <v>21</v>
      </c>
      <c r="G6" s="43">
        <v>8.0459770114942533</v>
      </c>
      <c r="H6" s="40">
        <v>25</v>
      </c>
      <c r="I6" s="41">
        <v>8.5324232081911262</v>
      </c>
      <c r="J6" s="40">
        <v>25</v>
      </c>
      <c r="K6" s="41">
        <v>7.6923076923076925</v>
      </c>
    </row>
    <row r="7" spans="1:12" ht="18.95" customHeight="1">
      <c r="A7" s="153" t="s">
        <v>86</v>
      </c>
      <c r="B7" s="40">
        <v>13</v>
      </c>
      <c r="C7" s="41">
        <v>3.1784841075794623</v>
      </c>
      <c r="D7" s="40">
        <v>6</v>
      </c>
      <c r="E7" s="41">
        <v>2.1505376344086025</v>
      </c>
      <c r="F7" s="42">
        <v>7</v>
      </c>
      <c r="G7" s="43">
        <v>2.6819923371647509</v>
      </c>
      <c r="H7" s="40">
        <v>9</v>
      </c>
      <c r="I7" s="41">
        <v>3.0716723549488054</v>
      </c>
      <c r="J7" s="40">
        <v>10</v>
      </c>
      <c r="K7" s="41">
        <v>3.0769230769230771</v>
      </c>
    </row>
    <row r="8" spans="1:12" ht="18.95" customHeight="1">
      <c r="A8" s="153" t="s">
        <v>94</v>
      </c>
      <c r="B8" s="40">
        <v>8</v>
      </c>
      <c r="C8" s="41">
        <v>1.9559902200488997</v>
      </c>
      <c r="D8" s="40">
        <v>3</v>
      </c>
      <c r="E8" s="41">
        <v>1.0752688172043012</v>
      </c>
      <c r="F8" s="42">
        <v>4</v>
      </c>
      <c r="G8" s="43">
        <v>1.5325670498084289</v>
      </c>
      <c r="H8" s="40">
        <v>3</v>
      </c>
      <c r="I8" s="41">
        <v>1.0238907849829351</v>
      </c>
      <c r="J8" s="40">
        <v>6</v>
      </c>
      <c r="K8" s="41">
        <v>1.8461538461538463</v>
      </c>
    </row>
    <row r="9" spans="1:12" ht="18.95" customHeight="1" thickBot="1">
      <c r="A9" s="154" t="s">
        <v>87</v>
      </c>
      <c r="B9" s="213">
        <v>5</v>
      </c>
      <c r="C9" s="214">
        <v>1.2224938875305624</v>
      </c>
      <c r="D9" s="213">
        <v>4</v>
      </c>
      <c r="E9" s="214">
        <v>1.4336917562724014</v>
      </c>
      <c r="F9" s="44" t="s">
        <v>49</v>
      </c>
      <c r="G9" s="45" t="s">
        <v>49</v>
      </c>
      <c r="H9" s="213">
        <v>1</v>
      </c>
      <c r="I9" s="214">
        <v>0.34129692832764508</v>
      </c>
      <c r="J9" s="213">
        <v>1</v>
      </c>
      <c r="K9" s="214">
        <v>0.30769230769230771</v>
      </c>
    </row>
    <row r="10" spans="1:12" ht="18.95" customHeight="1">
      <c r="A10" s="153"/>
      <c r="B10" s="475" t="s">
        <v>88</v>
      </c>
      <c r="C10" s="475"/>
      <c r="D10" s="475" t="s">
        <v>89</v>
      </c>
      <c r="E10" s="487"/>
      <c r="F10" s="475" t="s">
        <v>90</v>
      </c>
      <c r="G10" s="487"/>
      <c r="H10" s="475" t="s">
        <v>91</v>
      </c>
      <c r="I10" s="487"/>
      <c r="J10" s="475" t="s">
        <v>627</v>
      </c>
      <c r="K10" s="487"/>
    </row>
    <row r="11" spans="1:12" ht="18.95" customHeight="1">
      <c r="A11" s="153"/>
      <c r="B11" s="46" t="s">
        <v>82</v>
      </c>
      <c r="C11" s="46" t="s">
        <v>75</v>
      </c>
      <c r="D11" s="46" t="s">
        <v>82</v>
      </c>
      <c r="E11" s="46" t="s">
        <v>75</v>
      </c>
      <c r="F11" s="46" t="s">
        <v>82</v>
      </c>
      <c r="G11" s="46" t="s">
        <v>75</v>
      </c>
      <c r="H11" s="46" t="s">
        <v>82</v>
      </c>
      <c r="I11" s="46" t="s">
        <v>75</v>
      </c>
      <c r="J11" s="46" t="s">
        <v>82</v>
      </c>
      <c r="K11" s="46" t="s">
        <v>75</v>
      </c>
    </row>
    <row r="12" spans="1:12" ht="18.95" customHeight="1">
      <c r="A12" s="153" t="s">
        <v>83</v>
      </c>
      <c r="B12" s="40">
        <v>236</v>
      </c>
      <c r="C12" s="41">
        <v>100</v>
      </c>
      <c r="D12" s="40">
        <v>301</v>
      </c>
      <c r="E12" s="41">
        <v>100</v>
      </c>
      <c r="F12" s="40">
        <v>350</v>
      </c>
      <c r="G12" s="41">
        <v>100</v>
      </c>
      <c r="H12" s="40">
        <v>381</v>
      </c>
      <c r="I12" s="41">
        <v>100</v>
      </c>
      <c r="J12" s="40">
        <v>317</v>
      </c>
      <c r="K12" s="41">
        <f>317/317*100</f>
        <v>100</v>
      </c>
    </row>
    <row r="13" spans="1:12" ht="18.95" customHeight="1">
      <c r="A13" s="153" t="s">
        <v>84</v>
      </c>
      <c r="B13" s="40">
        <v>202</v>
      </c>
      <c r="C13" s="41">
        <v>85.593220338983059</v>
      </c>
      <c r="D13" s="40">
        <v>263</v>
      </c>
      <c r="E13" s="41">
        <v>87.375415282392026</v>
      </c>
      <c r="F13" s="40">
        <v>298</v>
      </c>
      <c r="G13" s="41">
        <v>85.142857142857139</v>
      </c>
      <c r="H13" s="40">
        <v>329</v>
      </c>
      <c r="I13" s="41">
        <v>86.351706036745398</v>
      </c>
      <c r="J13" s="40">
        <v>256</v>
      </c>
      <c r="K13" s="41">
        <f>J13/317*100</f>
        <v>80.757097791798103</v>
      </c>
    </row>
    <row r="14" spans="1:12" ht="18.95" customHeight="1">
      <c r="A14" s="153" t="s">
        <v>85</v>
      </c>
      <c r="B14" s="40">
        <v>22</v>
      </c>
      <c r="C14" s="41">
        <v>9.3220338983050848</v>
      </c>
      <c r="D14" s="40">
        <v>30</v>
      </c>
      <c r="E14" s="41">
        <v>9.9667774086378742</v>
      </c>
      <c r="F14" s="40">
        <v>37</v>
      </c>
      <c r="G14" s="41">
        <v>10.571428571428571</v>
      </c>
      <c r="H14" s="40">
        <v>33</v>
      </c>
      <c r="I14" s="41">
        <v>8.6614173228346463</v>
      </c>
      <c r="J14" s="40">
        <v>37</v>
      </c>
      <c r="K14" s="41">
        <f>J14/317*100</f>
        <v>11.67192429022082</v>
      </c>
    </row>
    <row r="15" spans="1:12" ht="18.95" customHeight="1">
      <c r="A15" s="153" t="s">
        <v>86</v>
      </c>
      <c r="B15" s="40">
        <v>5</v>
      </c>
      <c r="C15" s="41">
        <v>2.1186440677966099</v>
      </c>
      <c r="D15" s="40">
        <v>4</v>
      </c>
      <c r="E15" s="41">
        <v>1.3289036544850499</v>
      </c>
      <c r="F15" s="40">
        <v>3</v>
      </c>
      <c r="G15" s="41">
        <v>0.85714285714285721</v>
      </c>
      <c r="H15" s="40">
        <v>6</v>
      </c>
      <c r="I15" s="41">
        <v>1.5748031496062991</v>
      </c>
      <c r="J15" s="40">
        <v>11</v>
      </c>
      <c r="K15" s="41">
        <f>J15/317*100</f>
        <v>3.4700315457413247</v>
      </c>
    </row>
    <row r="16" spans="1:12" ht="18.95" customHeight="1">
      <c r="A16" s="153" t="s">
        <v>94</v>
      </c>
      <c r="B16" s="40">
        <v>4</v>
      </c>
      <c r="C16" s="41">
        <v>1.6949152542372881</v>
      </c>
      <c r="D16" s="40">
        <v>4</v>
      </c>
      <c r="E16" s="41">
        <v>1.3289036544850499</v>
      </c>
      <c r="F16" s="40">
        <v>12</v>
      </c>
      <c r="G16" s="41">
        <v>3.4285714285714288</v>
      </c>
      <c r="H16" s="40">
        <v>13</v>
      </c>
      <c r="I16" s="41">
        <v>3.4120734908136483</v>
      </c>
      <c r="J16" s="40">
        <v>9</v>
      </c>
      <c r="K16" s="41">
        <f>J16/317*100</f>
        <v>2.8391167192429023</v>
      </c>
    </row>
    <row r="17" spans="1:11" ht="18.95" customHeight="1">
      <c r="A17" s="155" t="s">
        <v>87</v>
      </c>
      <c r="B17" s="48">
        <v>3</v>
      </c>
      <c r="C17" s="47">
        <v>1.2711864406779663</v>
      </c>
      <c r="D17" s="79" t="s">
        <v>49</v>
      </c>
      <c r="E17" s="217" t="s">
        <v>49</v>
      </c>
      <c r="F17" s="79" t="s">
        <v>49</v>
      </c>
      <c r="G17" s="217" t="s">
        <v>49</v>
      </c>
      <c r="H17" s="79" t="s">
        <v>49</v>
      </c>
      <c r="I17" s="217" t="s">
        <v>49</v>
      </c>
      <c r="J17" s="79">
        <v>4</v>
      </c>
      <c r="K17" s="47">
        <f>J17/317*100</f>
        <v>1.2618296529968454</v>
      </c>
    </row>
    <row r="18" spans="1:11">
      <c r="A18" s="215" t="s">
        <v>545</v>
      </c>
      <c r="B18" s="40"/>
      <c r="C18" s="40"/>
      <c r="D18" s="40"/>
      <c r="E18" s="40"/>
      <c r="F18" s="40"/>
      <c r="G18" s="40"/>
      <c r="H18" s="40"/>
      <c r="I18" s="40"/>
      <c r="J18" s="40"/>
      <c r="K18" s="40"/>
    </row>
    <row r="19" spans="1:11">
      <c r="A19" s="216" t="s">
        <v>546</v>
      </c>
      <c r="B19" s="40"/>
      <c r="C19" s="40"/>
      <c r="D19" s="40"/>
      <c r="E19" s="40"/>
      <c r="F19" s="40"/>
      <c r="G19" s="40"/>
      <c r="H19" s="40"/>
      <c r="I19" s="40"/>
      <c r="J19" s="40"/>
      <c r="K19" s="40"/>
    </row>
    <row r="20" spans="1:11">
      <c r="A20" s="39"/>
      <c r="B20" s="39"/>
      <c r="C20" s="39"/>
      <c r="D20" s="39"/>
      <c r="E20" s="39"/>
      <c r="F20" s="39"/>
      <c r="G20" s="39"/>
      <c r="H20" s="39"/>
      <c r="I20" s="39"/>
      <c r="J20" s="39"/>
      <c r="K20" s="39"/>
    </row>
  </sheetData>
  <sortState ref="A5:K9">
    <sortCondition descending="1" ref="J5:J9"/>
  </sortState>
  <mergeCells count="11">
    <mergeCell ref="A1:K1"/>
    <mergeCell ref="B2:C2"/>
    <mergeCell ref="D2:E2"/>
    <mergeCell ref="F2:G2"/>
    <mergeCell ref="H2:I2"/>
    <mergeCell ref="J2:K2"/>
    <mergeCell ref="B10:C10"/>
    <mergeCell ref="D10:E10"/>
    <mergeCell ref="F10:G10"/>
    <mergeCell ref="H10:I10"/>
    <mergeCell ref="J10:K10"/>
  </mergeCells>
  <phoneticPr fontId="2" type="noConversion"/>
  <hyperlinks>
    <hyperlink ref="L1" location="本篇表次!A1" display="回本篇表次"/>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3"/>
  <sheetViews>
    <sheetView showGridLines="0" zoomScale="120" zoomScaleNormal="120" workbookViewId="0">
      <pane xSplit="1" topLeftCell="B1" activePane="topRight" state="frozen"/>
      <selection activeCell="G17" sqref="G17"/>
      <selection pane="topRight" sqref="A1:K1"/>
    </sheetView>
  </sheetViews>
  <sheetFormatPr defaultColWidth="9" defaultRowHeight="16.5"/>
  <cols>
    <col min="1" max="1" width="15.875" customWidth="1"/>
    <col min="12" max="12" width="12.625" bestFit="1" customWidth="1"/>
  </cols>
  <sheetData>
    <row r="1" spans="1:12" ht="23.1" customHeight="1">
      <c r="A1" s="435" t="s">
        <v>95</v>
      </c>
      <c r="B1" s="435"/>
      <c r="C1" s="435"/>
      <c r="D1" s="435"/>
      <c r="E1" s="435"/>
      <c r="F1" s="435"/>
      <c r="G1" s="435"/>
      <c r="H1" s="435"/>
      <c r="I1" s="435"/>
      <c r="J1" s="435"/>
      <c r="K1" s="435"/>
      <c r="L1" s="242" t="s">
        <v>548</v>
      </c>
    </row>
    <row r="2" spans="1:12" ht="18.95" customHeight="1">
      <c r="A2" s="16"/>
      <c r="B2" s="395" t="s">
        <v>37</v>
      </c>
      <c r="C2" s="395"/>
      <c r="D2" s="395" t="s">
        <v>38</v>
      </c>
      <c r="E2" s="395"/>
      <c r="F2" s="395" t="s">
        <v>39</v>
      </c>
      <c r="G2" s="395"/>
      <c r="H2" s="395" t="s">
        <v>40</v>
      </c>
      <c r="I2" s="395"/>
      <c r="J2" s="395" t="s">
        <v>41</v>
      </c>
      <c r="K2" s="480"/>
    </row>
    <row r="3" spans="1:12" ht="18.95" customHeight="1">
      <c r="A3" s="4"/>
      <c r="B3" s="8" t="s">
        <v>76</v>
      </c>
      <c r="C3" s="8" t="s">
        <v>60</v>
      </c>
      <c r="D3" s="8" t="s">
        <v>76</v>
      </c>
      <c r="E3" s="8" t="s">
        <v>60</v>
      </c>
      <c r="F3" s="8" t="s">
        <v>76</v>
      </c>
      <c r="G3" s="8" t="s">
        <v>60</v>
      </c>
      <c r="H3" s="8" t="s">
        <v>76</v>
      </c>
      <c r="I3" s="8" t="s">
        <v>60</v>
      </c>
      <c r="J3" s="8" t="s">
        <v>76</v>
      </c>
      <c r="K3" s="8" t="s">
        <v>60</v>
      </c>
    </row>
    <row r="4" spans="1:12" ht="18.95" customHeight="1">
      <c r="A4" s="24" t="s">
        <v>48</v>
      </c>
      <c r="B4" s="18">
        <v>409</v>
      </c>
      <c r="C4" s="30">
        <f>SUM(C5:C11)</f>
        <v>99.999999999999986</v>
      </c>
      <c r="D4" s="18">
        <v>279</v>
      </c>
      <c r="E4" s="30">
        <f>SUM(E5:E11)</f>
        <v>100</v>
      </c>
      <c r="F4" s="18">
        <v>261</v>
      </c>
      <c r="G4" s="30">
        <f>SUM(G5:G11)</f>
        <v>100</v>
      </c>
      <c r="H4" s="18">
        <v>293</v>
      </c>
      <c r="I4" s="30">
        <f>SUM(I5:I11)</f>
        <v>99.999999999999986</v>
      </c>
      <c r="J4" s="18">
        <v>325</v>
      </c>
      <c r="K4" s="30">
        <f>SUM(K5:K11)</f>
        <v>100</v>
      </c>
    </row>
    <row r="5" spans="1:12" ht="18.95" customHeight="1">
      <c r="A5" s="24" t="s">
        <v>96</v>
      </c>
      <c r="B5" s="18">
        <v>152</v>
      </c>
      <c r="C5" s="36">
        <f t="shared" ref="C5:C10" si="0">IFERROR(B5/B$4*100,"-")</f>
        <v>37.163814180929094</v>
      </c>
      <c r="D5" s="18">
        <v>111</v>
      </c>
      <c r="E5" s="36">
        <f t="shared" ref="E5:E10" si="1">IFERROR(D5/D$4*100,"-")</f>
        <v>39.784946236559136</v>
      </c>
      <c r="F5" s="18">
        <v>102</v>
      </c>
      <c r="G5" s="36">
        <f t="shared" ref="G5:G10" si="2">IFERROR(F5/F$4*100,"-")</f>
        <v>39.080459770114942</v>
      </c>
      <c r="H5" s="18">
        <v>135</v>
      </c>
      <c r="I5" s="36">
        <f t="shared" ref="I5:I10" si="3">IFERROR(H5/H$4*100,"-")</f>
        <v>46.075085324232084</v>
      </c>
      <c r="J5" s="18">
        <v>143</v>
      </c>
      <c r="K5" s="36">
        <f t="shared" ref="K5:K10" si="4">IFERROR(J5/J$4*100,"-")</f>
        <v>44</v>
      </c>
    </row>
    <row r="6" spans="1:12" ht="18.95" customHeight="1">
      <c r="A6" s="24" t="s">
        <v>97</v>
      </c>
      <c r="B6" s="18">
        <v>161</v>
      </c>
      <c r="C6" s="36">
        <f t="shared" si="0"/>
        <v>39.364303178484107</v>
      </c>
      <c r="D6" s="18">
        <v>102</v>
      </c>
      <c r="E6" s="36">
        <f t="shared" si="1"/>
        <v>36.55913978494624</v>
      </c>
      <c r="F6" s="18">
        <v>110</v>
      </c>
      <c r="G6" s="36">
        <f t="shared" si="2"/>
        <v>42.145593869731798</v>
      </c>
      <c r="H6" s="18">
        <v>103</v>
      </c>
      <c r="I6" s="36">
        <f t="shared" si="3"/>
        <v>35.153583617747444</v>
      </c>
      <c r="J6" s="18">
        <v>110</v>
      </c>
      <c r="K6" s="36">
        <f t="shared" si="4"/>
        <v>33.846153846153847</v>
      </c>
    </row>
    <row r="7" spans="1:12" ht="18.95" customHeight="1">
      <c r="A7" s="24" t="s">
        <v>98</v>
      </c>
      <c r="B7" s="18">
        <v>29</v>
      </c>
      <c r="C7" s="36">
        <f t="shared" si="0"/>
        <v>7.0904645476772608</v>
      </c>
      <c r="D7" s="18">
        <v>22</v>
      </c>
      <c r="E7" s="36">
        <f t="shared" si="1"/>
        <v>7.8853046594982077</v>
      </c>
      <c r="F7" s="18">
        <v>13</v>
      </c>
      <c r="G7" s="36">
        <f t="shared" si="2"/>
        <v>4.980842911877394</v>
      </c>
      <c r="H7" s="18">
        <v>18</v>
      </c>
      <c r="I7" s="36">
        <f t="shared" si="3"/>
        <v>6.1433447098976108</v>
      </c>
      <c r="J7" s="18">
        <v>23</v>
      </c>
      <c r="K7" s="36">
        <f t="shared" si="4"/>
        <v>7.0769230769230766</v>
      </c>
    </row>
    <row r="8" spans="1:12" ht="18.95" customHeight="1">
      <c r="A8" s="24" t="s">
        <v>99</v>
      </c>
      <c r="B8" s="18">
        <v>19</v>
      </c>
      <c r="C8" s="36">
        <f t="shared" si="0"/>
        <v>4.6454767726161368</v>
      </c>
      <c r="D8" s="18">
        <v>12</v>
      </c>
      <c r="E8" s="36">
        <f t="shared" si="1"/>
        <v>4.3010752688172049</v>
      </c>
      <c r="F8" s="18">
        <v>12</v>
      </c>
      <c r="G8" s="36">
        <f t="shared" si="2"/>
        <v>4.5977011494252871</v>
      </c>
      <c r="H8" s="18">
        <v>18</v>
      </c>
      <c r="I8" s="36">
        <f t="shared" si="3"/>
        <v>6.1433447098976108</v>
      </c>
      <c r="J8" s="18">
        <v>25</v>
      </c>
      <c r="K8" s="36">
        <f t="shared" si="4"/>
        <v>7.6923076923076925</v>
      </c>
    </row>
    <row r="9" spans="1:12" ht="18.95" customHeight="1">
      <c r="A9" s="24" t="s">
        <v>100</v>
      </c>
      <c r="B9" s="18">
        <v>16</v>
      </c>
      <c r="C9" s="36">
        <f t="shared" si="0"/>
        <v>3.9119804400977993</v>
      </c>
      <c r="D9" s="18">
        <v>11</v>
      </c>
      <c r="E9" s="36">
        <f t="shared" si="1"/>
        <v>3.9426523297491038</v>
      </c>
      <c r="F9" s="18">
        <v>7</v>
      </c>
      <c r="G9" s="36">
        <f t="shared" si="2"/>
        <v>2.6819923371647509</v>
      </c>
      <c r="H9" s="18">
        <v>2</v>
      </c>
      <c r="I9" s="36">
        <f t="shared" si="3"/>
        <v>0.68259385665529015</v>
      </c>
      <c r="J9" s="18">
        <v>11</v>
      </c>
      <c r="K9" s="36">
        <f t="shared" si="4"/>
        <v>3.3846153846153846</v>
      </c>
    </row>
    <row r="10" spans="1:12" ht="18.95" customHeight="1">
      <c r="A10" s="24" t="s">
        <v>101</v>
      </c>
      <c r="B10" s="18">
        <v>5</v>
      </c>
      <c r="C10" s="36">
        <f t="shared" si="0"/>
        <v>1.2224938875305624</v>
      </c>
      <c r="D10" s="18">
        <v>1</v>
      </c>
      <c r="E10" s="36">
        <f t="shared" si="1"/>
        <v>0.35842293906810035</v>
      </c>
      <c r="F10" s="18">
        <v>4</v>
      </c>
      <c r="G10" s="36">
        <f t="shared" si="2"/>
        <v>1.5325670498084289</v>
      </c>
      <c r="H10" s="18">
        <v>3</v>
      </c>
      <c r="I10" s="36">
        <f t="shared" si="3"/>
        <v>1.0238907849829351</v>
      </c>
      <c r="J10" s="18">
        <v>3</v>
      </c>
      <c r="K10" s="36">
        <f t="shared" si="4"/>
        <v>0.92307692307692313</v>
      </c>
    </row>
    <row r="11" spans="1:12" ht="18.95" customHeight="1">
      <c r="A11" s="35" t="s">
        <v>36</v>
      </c>
      <c r="B11" s="22">
        <v>27</v>
      </c>
      <c r="C11" s="49">
        <f t="shared" ref="C11" si="5">IFERROR(B11/B$4*100,"-")</f>
        <v>6.6014669926650367</v>
      </c>
      <c r="D11" s="22">
        <v>20</v>
      </c>
      <c r="E11" s="49">
        <f t="shared" ref="E11" si="6">IFERROR(D11/D$4*100,"-")</f>
        <v>7.1684587813620064</v>
      </c>
      <c r="F11" s="22">
        <v>13</v>
      </c>
      <c r="G11" s="49">
        <f t="shared" ref="G11" si="7">IFERROR(F11/F$4*100,"-")</f>
        <v>4.980842911877394</v>
      </c>
      <c r="H11" s="22">
        <v>14</v>
      </c>
      <c r="I11" s="49">
        <f t="shared" ref="I11" si="8">IFERROR(H11/H$4*100,"-")</f>
        <v>4.7781569965870307</v>
      </c>
      <c r="J11" s="22">
        <v>10</v>
      </c>
      <c r="K11" s="49">
        <f t="shared" ref="K11" si="9">IFERROR(J11/J$4*100,"-")</f>
        <v>3.0769230769230771</v>
      </c>
    </row>
    <row r="12" spans="1:12" ht="18.95" customHeight="1">
      <c r="A12" s="4"/>
      <c r="B12" s="395" t="s">
        <v>42</v>
      </c>
      <c r="C12" s="480"/>
      <c r="D12" s="395" t="s">
        <v>43</v>
      </c>
      <c r="E12" s="480"/>
      <c r="F12" s="395" t="s">
        <v>77</v>
      </c>
      <c r="G12" s="395"/>
      <c r="H12" s="395" t="s">
        <v>45</v>
      </c>
      <c r="I12" s="395"/>
      <c r="J12" s="395" t="s">
        <v>619</v>
      </c>
      <c r="K12" s="395"/>
    </row>
    <row r="13" spans="1:12" ht="18.95" customHeight="1">
      <c r="A13" s="4"/>
      <c r="B13" s="8" t="s">
        <v>76</v>
      </c>
      <c r="C13" s="8" t="s">
        <v>60</v>
      </c>
      <c r="D13" s="8" t="s">
        <v>76</v>
      </c>
      <c r="E13" s="8" t="s">
        <v>60</v>
      </c>
      <c r="F13" s="8" t="s">
        <v>76</v>
      </c>
      <c r="G13" s="8" t="s">
        <v>60</v>
      </c>
      <c r="H13" s="8" t="s">
        <v>102</v>
      </c>
      <c r="I13" s="8" t="s">
        <v>60</v>
      </c>
      <c r="J13" s="8" t="s">
        <v>102</v>
      </c>
      <c r="K13" s="8" t="s">
        <v>60</v>
      </c>
    </row>
    <row r="14" spans="1:12" ht="18.95" customHeight="1">
      <c r="A14" s="24" t="s">
        <v>48</v>
      </c>
      <c r="B14" s="18">
        <v>236</v>
      </c>
      <c r="C14" s="30">
        <f t="shared" ref="C14:K14" si="10">SUM(C15:C21)</f>
        <v>99.999999999999986</v>
      </c>
      <c r="D14" s="10">
        <f t="shared" si="10"/>
        <v>301</v>
      </c>
      <c r="E14" s="30">
        <f t="shared" si="10"/>
        <v>100</v>
      </c>
      <c r="F14" s="10">
        <f t="shared" si="10"/>
        <v>350</v>
      </c>
      <c r="G14" s="30">
        <f t="shared" si="10"/>
        <v>100.00000000000001</v>
      </c>
      <c r="H14" s="10">
        <f t="shared" si="10"/>
        <v>381</v>
      </c>
      <c r="I14" s="30">
        <f t="shared" si="10"/>
        <v>99.999999999999986</v>
      </c>
      <c r="J14" s="10">
        <f t="shared" si="10"/>
        <v>317</v>
      </c>
      <c r="K14" s="30">
        <f t="shared" si="10"/>
        <v>99.999999999999986</v>
      </c>
    </row>
    <row r="15" spans="1:12" ht="18.95" customHeight="1">
      <c r="A15" s="24" t="s">
        <v>96</v>
      </c>
      <c r="B15" s="18">
        <v>104</v>
      </c>
      <c r="C15" s="36">
        <f t="shared" ref="C15:C20" si="11">IFERROR(B15/B$14*100,"-")</f>
        <v>44.067796610169488</v>
      </c>
      <c r="D15" s="5">
        <v>118</v>
      </c>
      <c r="E15" s="36">
        <f t="shared" ref="E15:E20" si="12">IFERROR(D15/D$14*100,"-")</f>
        <v>39.202657807308974</v>
      </c>
      <c r="F15" s="5">
        <v>151</v>
      </c>
      <c r="G15" s="36">
        <f t="shared" ref="G15:G20" si="13">IFERROR(F15/F$14*100,"-")</f>
        <v>43.142857142857146</v>
      </c>
      <c r="H15" s="5">
        <v>179</v>
      </c>
      <c r="I15" s="36">
        <f t="shared" ref="I15:I20" si="14">IFERROR(H15/H$14*100,"-")</f>
        <v>46.981627296587924</v>
      </c>
      <c r="J15" s="5">
        <v>128</v>
      </c>
      <c r="K15" s="36">
        <f t="shared" ref="K15:K20" si="15">IFERROR(J15/J$14*100,"-")</f>
        <v>40.378548895899051</v>
      </c>
    </row>
    <row r="16" spans="1:12" ht="18.95" customHeight="1">
      <c r="A16" s="24" t="s">
        <v>97</v>
      </c>
      <c r="B16" s="18">
        <v>69</v>
      </c>
      <c r="C16" s="36">
        <f t="shared" si="11"/>
        <v>29.237288135593221</v>
      </c>
      <c r="D16" s="5">
        <v>107</v>
      </c>
      <c r="E16" s="36">
        <f t="shared" si="12"/>
        <v>35.548172757475086</v>
      </c>
      <c r="F16" s="5">
        <v>117</v>
      </c>
      <c r="G16" s="36">
        <f t="shared" si="13"/>
        <v>33.428571428571431</v>
      </c>
      <c r="H16" s="5">
        <v>124</v>
      </c>
      <c r="I16" s="36">
        <f t="shared" si="14"/>
        <v>32.54593175853018</v>
      </c>
      <c r="J16" s="5">
        <v>119</v>
      </c>
      <c r="K16" s="36">
        <f t="shared" si="15"/>
        <v>37.539432176656149</v>
      </c>
    </row>
    <row r="17" spans="1:11" ht="18.95" customHeight="1">
      <c r="A17" s="24" t="s">
        <v>98</v>
      </c>
      <c r="B17" s="18">
        <v>18</v>
      </c>
      <c r="C17" s="36">
        <f t="shared" si="11"/>
        <v>7.6271186440677967</v>
      </c>
      <c r="D17" s="5">
        <v>26</v>
      </c>
      <c r="E17" s="36">
        <f t="shared" si="12"/>
        <v>8.6378737541528228</v>
      </c>
      <c r="F17" s="5">
        <v>22</v>
      </c>
      <c r="G17" s="36">
        <f t="shared" si="13"/>
        <v>6.2857142857142865</v>
      </c>
      <c r="H17" s="5">
        <v>14</v>
      </c>
      <c r="I17" s="36">
        <f t="shared" si="14"/>
        <v>3.674540682414698</v>
      </c>
      <c r="J17" s="5">
        <v>27</v>
      </c>
      <c r="K17" s="36">
        <f t="shared" si="15"/>
        <v>8.517350157728707</v>
      </c>
    </row>
    <row r="18" spans="1:11" ht="18.95" customHeight="1">
      <c r="A18" s="24" t="s">
        <v>99</v>
      </c>
      <c r="B18" s="18">
        <v>18</v>
      </c>
      <c r="C18" s="36">
        <f t="shared" si="11"/>
        <v>7.6271186440677967</v>
      </c>
      <c r="D18" s="5">
        <v>21</v>
      </c>
      <c r="E18" s="36">
        <f t="shared" si="12"/>
        <v>6.9767441860465116</v>
      </c>
      <c r="F18" s="5">
        <v>20</v>
      </c>
      <c r="G18" s="36">
        <f t="shared" si="13"/>
        <v>5.7142857142857144</v>
      </c>
      <c r="H18" s="5">
        <v>22</v>
      </c>
      <c r="I18" s="36">
        <f t="shared" si="14"/>
        <v>5.7742782152230969</v>
      </c>
      <c r="J18" s="5">
        <v>16</v>
      </c>
      <c r="K18" s="36">
        <f t="shared" si="15"/>
        <v>5.0473186119873814</v>
      </c>
    </row>
    <row r="19" spans="1:11" ht="18.95" customHeight="1">
      <c r="A19" s="24" t="s">
        <v>100</v>
      </c>
      <c r="B19" s="18">
        <v>8</v>
      </c>
      <c r="C19" s="36">
        <f t="shared" si="11"/>
        <v>3.3898305084745761</v>
      </c>
      <c r="D19" s="5">
        <v>9</v>
      </c>
      <c r="E19" s="36">
        <f t="shared" si="12"/>
        <v>2.9900332225913622</v>
      </c>
      <c r="F19" s="5">
        <v>8</v>
      </c>
      <c r="G19" s="36">
        <f t="shared" si="13"/>
        <v>2.2857142857142856</v>
      </c>
      <c r="H19" s="5">
        <v>17</v>
      </c>
      <c r="I19" s="36">
        <f t="shared" si="14"/>
        <v>4.4619422572178475</v>
      </c>
      <c r="J19" s="5">
        <v>6</v>
      </c>
      <c r="K19" s="36">
        <f t="shared" si="15"/>
        <v>1.8927444794952681</v>
      </c>
    </row>
    <row r="20" spans="1:11" ht="18.95" customHeight="1">
      <c r="A20" s="24" t="s">
        <v>101</v>
      </c>
      <c r="B20" s="18">
        <v>2</v>
      </c>
      <c r="C20" s="36">
        <f t="shared" si="11"/>
        <v>0.84745762711864403</v>
      </c>
      <c r="D20" s="5">
        <v>1</v>
      </c>
      <c r="E20" s="36">
        <f t="shared" si="12"/>
        <v>0.33222591362126247</v>
      </c>
      <c r="F20" s="5">
        <v>4</v>
      </c>
      <c r="G20" s="36">
        <f t="shared" si="13"/>
        <v>1.1428571428571428</v>
      </c>
      <c r="H20" s="5">
        <v>3</v>
      </c>
      <c r="I20" s="36">
        <f t="shared" si="14"/>
        <v>0.78740157480314954</v>
      </c>
      <c r="J20" s="5">
        <v>5</v>
      </c>
      <c r="K20" s="36">
        <f t="shared" si="15"/>
        <v>1.5772870662460567</v>
      </c>
    </row>
    <row r="21" spans="1:11" ht="18.95" customHeight="1">
      <c r="A21" s="35" t="s">
        <v>36</v>
      </c>
      <c r="B21" s="22">
        <v>17</v>
      </c>
      <c r="C21" s="49">
        <f t="shared" ref="C21" si="16">IFERROR(B21/B$14*100,"-")</f>
        <v>7.2033898305084749</v>
      </c>
      <c r="D21" s="7">
        <v>19</v>
      </c>
      <c r="E21" s="49">
        <f t="shared" ref="E21" si="17">IFERROR(D21/D$14*100,"-")</f>
        <v>6.3122923588039868</v>
      </c>
      <c r="F21" s="7">
        <v>28</v>
      </c>
      <c r="G21" s="49">
        <f t="shared" ref="G21" si="18">IFERROR(F21/F$14*100,"-")</f>
        <v>8</v>
      </c>
      <c r="H21" s="7">
        <v>22</v>
      </c>
      <c r="I21" s="49">
        <f t="shared" ref="I21" si="19">IFERROR(H21/H$14*100,"-")</f>
        <v>5.7742782152230969</v>
      </c>
      <c r="J21" s="7">
        <v>16</v>
      </c>
      <c r="K21" s="49">
        <f t="shared" ref="K21" si="20">IFERROR(J21/J$14*100,"-")</f>
        <v>5.0473186119873814</v>
      </c>
    </row>
    <row r="22" spans="1:11">
      <c r="A22" s="500" t="s">
        <v>78</v>
      </c>
      <c r="B22" s="501"/>
      <c r="C22" s="501"/>
      <c r="D22" s="501"/>
      <c r="E22" s="501"/>
      <c r="F22" s="501"/>
      <c r="G22" s="501"/>
      <c r="H22" s="501"/>
      <c r="I22" s="11"/>
      <c r="J22" s="38"/>
      <c r="K22" s="38"/>
    </row>
    <row r="23" spans="1:11">
      <c r="A23" s="499" t="s">
        <v>359</v>
      </c>
      <c r="B23" s="397"/>
      <c r="C23" s="397"/>
      <c r="D23" s="397"/>
      <c r="E23" s="397"/>
      <c r="F23" s="397"/>
      <c r="G23" s="11"/>
      <c r="H23" s="11"/>
      <c r="I23" s="31"/>
      <c r="J23" s="11"/>
      <c r="K23" s="11"/>
    </row>
  </sheetData>
  <sortState ref="A5:K10">
    <sortCondition descending="1" ref="J5:J10"/>
  </sortState>
  <mergeCells count="13">
    <mergeCell ref="A1:K1"/>
    <mergeCell ref="B2:C2"/>
    <mergeCell ref="D2:E2"/>
    <mergeCell ref="F2:G2"/>
    <mergeCell ref="A23:F23"/>
    <mergeCell ref="J2:K2"/>
    <mergeCell ref="H12:I12"/>
    <mergeCell ref="H2:I2"/>
    <mergeCell ref="B12:C12"/>
    <mergeCell ref="D12:E12"/>
    <mergeCell ref="F12:G12"/>
    <mergeCell ref="A22:H22"/>
    <mergeCell ref="J12:K12"/>
  </mergeCells>
  <phoneticPr fontId="3" type="noConversion"/>
  <hyperlinks>
    <hyperlink ref="L1" location="本篇表次!A1" display="回本篇表次"/>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25"/>
  <sheetViews>
    <sheetView showGridLines="0" zoomScaleNormal="100" workbookViewId="0">
      <pane xSplit="1" topLeftCell="E1" activePane="topRight" state="frozen"/>
      <selection activeCell="G17" sqref="G17"/>
      <selection pane="topRight" sqref="A1:U1"/>
    </sheetView>
  </sheetViews>
  <sheetFormatPr defaultColWidth="7.625" defaultRowHeight="16.5"/>
  <cols>
    <col min="1" max="1" width="29.125" customWidth="1"/>
    <col min="2" max="4" width="7.625" customWidth="1"/>
    <col min="5" max="5" width="7.875" customWidth="1"/>
    <col min="7" max="8" width="7.625" customWidth="1"/>
    <col min="9" max="9" width="7.875" customWidth="1"/>
    <col min="10" max="12" width="7.625" customWidth="1"/>
    <col min="13" max="13" width="8.625" customWidth="1"/>
    <col min="14" max="16" width="7.625" customWidth="1"/>
    <col min="17" max="17" width="9" customWidth="1"/>
    <col min="21" max="21" width="9" bestFit="1" customWidth="1"/>
    <col min="22" max="22" width="12.625" bestFit="1" customWidth="1"/>
  </cols>
  <sheetData>
    <row r="1" spans="1:22" ht="20.100000000000001" customHeight="1">
      <c r="A1" s="389" t="s">
        <v>558</v>
      </c>
      <c r="B1" s="389"/>
      <c r="C1" s="389"/>
      <c r="D1" s="389"/>
      <c r="E1" s="389"/>
      <c r="F1" s="389"/>
      <c r="G1" s="389"/>
      <c r="H1" s="389"/>
      <c r="I1" s="389"/>
      <c r="J1" s="389"/>
      <c r="K1" s="389"/>
      <c r="L1" s="389"/>
      <c r="M1" s="389"/>
      <c r="N1" s="389"/>
      <c r="O1" s="389"/>
      <c r="P1" s="389"/>
      <c r="Q1" s="389"/>
      <c r="R1" s="389"/>
      <c r="S1" s="389"/>
      <c r="T1" s="389"/>
      <c r="U1" s="389"/>
      <c r="V1" s="242" t="s">
        <v>548</v>
      </c>
    </row>
    <row r="2" spans="1:22" ht="20.100000000000001" customHeight="1">
      <c r="A2" s="391"/>
      <c r="B2" s="479" t="s">
        <v>103</v>
      </c>
      <c r="C2" s="479"/>
      <c r="D2" s="479"/>
      <c r="E2" s="479"/>
      <c r="F2" s="479" t="s">
        <v>104</v>
      </c>
      <c r="G2" s="480"/>
      <c r="H2" s="480"/>
      <c r="I2" s="480"/>
      <c r="J2" s="479" t="s">
        <v>105</v>
      </c>
      <c r="K2" s="479"/>
      <c r="L2" s="479"/>
      <c r="M2" s="479"/>
      <c r="N2" s="479" t="s">
        <v>118</v>
      </c>
      <c r="O2" s="479"/>
      <c r="P2" s="479"/>
      <c r="Q2" s="479"/>
      <c r="R2" s="479" t="s">
        <v>119</v>
      </c>
      <c r="S2" s="479"/>
      <c r="T2" s="479"/>
      <c r="U2" s="479"/>
    </row>
    <row r="3" spans="1:22" ht="20.100000000000001" customHeight="1">
      <c r="A3" s="392"/>
      <c r="B3" s="479" t="s">
        <v>106</v>
      </c>
      <c r="C3" s="479"/>
      <c r="D3" s="479"/>
      <c r="E3" s="391" t="s">
        <v>107</v>
      </c>
      <c r="F3" s="480" t="s">
        <v>106</v>
      </c>
      <c r="G3" s="480"/>
      <c r="H3" s="480"/>
      <c r="I3" s="391" t="s">
        <v>107</v>
      </c>
      <c r="J3" s="479" t="s">
        <v>106</v>
      </c>
      <c r="K3" s="479"/>
      <c r="L3" s="479"/>
      <c r="M3" s="391" t="s">
        <v>107</v>
      </c>
      <c r="N3" s="479" t="s">
        <v>106</v>
      </c>
      <c r="O3" s="479"/>
      <c r="P3" s="479"/>
      <c r="Q3" s="391" t="s">
        <v>107</v>
      </c>
      <c r="R3" s="479" t="s">
        <v>106</v>
      </c>
      <c r="S3" s="479"/>
      <c r="T3" s="479"/>
      <c r="U3" s="391" t="s">
        <v>107</v>
      </c>
    </row>
    <row r="4" spans="1:22" ht="20.100000000000001" customHeight="1">
      <c r="A4" s="392"/>
      <c r="B4" s="17" t="s">
        <v>108</v>
      </c>
      <c r="C4" s="249" t="s">
        <v>53</v>
      </c>
      <c r="D4" s="249" t="s">
        <v>54</v>
      </c>
      <c r="E4" s="463"/>
      <c r="F4" s="17" t="s">
        <v>108</v>
      </c>
      <c r="G4" s="249" t="s">
        <v>53</v>
      </c>
      <c r="H4" s="249" t="s">
        <v>54</v>
      </c>
      <c r="I4" s="481"/>
      <c r="J4" s="17" t="s">
        <v>108</v>
      </c>
      <c r="K4" s="249" t="s">
        <v>53</v>
      </c>
      <c r="L4" s="249" t="s">
        <v>54</v>
      </c>
      <c r="M4" s="463"/>
      <c r="N4" s="17" t="s">
        <v>108</v>
      </c>
      <c r="O4" s="249" t="s">
        <v>53</v>
      </c>
      <c r="P4" s="249" t="s">
        <v>54</v>
      </c>
      <c r="Q4" s="463"/>
      <c r="R4" s="17" t="s">
        <v>108</v>
      </c>
      <c r="S4" s="249" t="s">
        <v>53</v>
      </c>
      <c r="T4" s="249" t="s">
        <v>54</v>
      </c>
      <c r="U4" s="463"/>
    </row>
    <row r="5" spans="1:22" ht="20.100000000000001" customHeight="1">
      <c r="A5" s="250" t="s">
        <v>109</v>
      </c>
      <c r="B5" s="50">
        <v>2105</v>
      </c>
      <c r="C5" s="50">
        <v>1547</v>
      </c>
      <c r="D5" s="50">
        <v>558</v>
      </c>
      <c r="E5" s="251">
        <f>SUM(E6:E12)</f>
        <v>100</v>
      </c>
      <c r="F5" s="50">
        <v>2076</v>
      </c>
      <c r="G5" s="14">
        <v>1528</v>
      </c>
      <c r="H5" s="14">
        <v>548</v>
      </c>
      <c r="I5" s="251">
        <f>SUM(I6:I12)</f>
        <v>100.00000000000003</v>
      </c>
      <c r="J5" s="14">
        <v>1386</v>
      </c>
      <c r="K5" s="14">
        <v>1000</v>
      </c>
      <c r="L5" s="14">
        <v>386</v>
      </c>
      <c r="M5" s="251">
        <f>SUM(M6:M12)</f>
        <v>100</v>
      </c>
      <c r="N5" s="14">
        <v>835</v>
      </c>
      <c r="O5" s="14">
        <v>596</v>
      </c>
      <c r="P5" s="14">
        <v>239</v>
      </c>
      <c r="Q5" s="251">
        <f>SUM(Q6:Q12)</f>
        <v>99.999999999999986</v>
      </c>
      <c r="R5" s="14">
        <v>675</v>
      </c>
      <c r="S5" s="14">
        <v>468</v>
      </c>
      <c r="T5" s="14">
        <v>207</v>
      </c>
      <c r="U5" s="251">
        <f>SUM(U6:U12)</f>
        <v>100</v>
      </c>
    </row>
    <row r="6" spans="1:22" ht="33" customHeight="1">
      <c r="A6" s="250" t="s">
        <v>110</v>
      </c>
      <c r="B6" s="14">
        <v>1801</v>
      </c>
      <c r="C6" s="14">
        <v>1379</v>
      </c>
      <c r="D6" s="14">
        <v>422</v>
      </c>
      <c r="E6" s="251">
        <f t="shared" ref="E6:E12" si="0">IFERROR(B6/B$5*100,"-")</f>
        <v>85.558194774346802</v>
      </c>
      <c r="F6" s="14">
        <v>1752</v>
      </c>
      <c r="G6" s="14">
        <v>1336</v>
      </c>
      <c r="H6" s="14">
        <v>416</v>
      </c>
      <c r="I6" s="251">
        <f t="shared" ref="I6:I12" si="1">IFERROR(F6/F$5*100,"-")</f>
        <v>84.393063583815035</v>
      </c>
      <c r="J6" s="14">
        <v>1112</v>
      </c>
      <c r="K6" s="14">
        <v>826</v>
      </c>
      <c r="L6" s="14">
        <v>286</v>
      </c>
      <c r="M6" s="251">
        <f t="shared" ref="M6:M12" si="2">IFERROR(J6/J$5*100,"-")</f>
        <v>80.230880230880231</v>
      </c>
      <c r="N6" s="14">
        <v>553</v>
      </c>
      <c r="O6" s="14">
        <v>419</v>
      </c>
      <c r="P6" s="14">
        <v>134</v>
      </c>
      <c r="Q6" s="251">
        <f>IFERROR(N6/N$5*100,"-")</f>
        <v>66.227544910179631</v>
      </c>
      <c r="R6" s="14">
        <v>399</v>
      </c>
      <c r="S6" s="14">
        <v>280</v>
      </c>
      <c r="T6" s="14">
        <v>119</v>
      </c>
      <c r="U6" s="251">
        <f>IFERROR(R6/R$5*100,"-")</f>
        <v>59.111111111111114</v>
      </c>
    </row>
    <row r="7" spans="1:22" ht="33" customHeight="1">
      <c r="A7" s="250" t="s">
        <v>111</v>
      </c>
      <c r="B7" s="14">
        <v>94</v>
      </c>
      <c r="C7" s="14">
        <v>87</v>
      </c>
      <c r="D7" s="14">
        <v>7</v>
      </c>
      <c r="E7" s="251">
        <f t="shared" si="0"/>
        <v>4.4655581947743466</v>
      </c>
      <c r="F7" s="14">
        <v>107</v>
      </c>
      <c r="G7" s="14">
        <v>101</v>
      </c>
      <c r="H7" s="14">
        <v>6</v>
      </c>
      <c r="I7" s="251">
        <f t="shared" si="1"/>
        <v>5.1541425818882463</v>
      </c>
      <c r="J7" s="14">
        <v>96</v>
      </c>
      <c r="K7" s="14">
        <v>93</v>
      </c>
      <c r="L7" s="14">
        <v>3</v>
      </c>
      <c r="M7" s="251">
        <f t="shared" si="2"/>
        <v>6.9264069264069263</v>
      </c>
      <c r="N7" s="14">
        <v>121</v>
      </c>
      <c r="O7" s="14">
        <v>107</v>
      </c>
      <c r="P7" s="14">
        <v>14</v>
      </c>
      <c r="Q7" s="251">
        <f t="shared" ref="Q7:Q12" si="3">IFERROR(N7/N$5*100,"-")</f>
        <v>14.491017964071856</v>
      </c>
      <c r="R7" s="14">
        <v>121</v>
      </c>
      <c r="S7" s="14">
        <v>114</v>
      </c>
      <c r="T7" s="14">
        <v>7</v>
      </c>
      <c r="U7" s="251">
        <f t="shared" ref="U7:U12" si="4">IFERROR(R7/R$5*100,"-")</f>
        <v>17.925925925925927</v>
      </c>
    </row>
    <row r="8" spans="1:22" ht="30.95" customHeight="1">
      <c r="A8" s="250" t="s">
        <v>112</v>
      </c>
      <c r="B8" s="14">
        <v>14</v>
      </c>
      <c r="C8" s="14">
        <v>14</v>
      </c>
      <c r="D8" s="14" t="s">
        <v>49</v>
      </c>
      <c r="E8" s="251">
        <f t="shared" si="0"/>
        <v>0.66508313539192399</v>
      </c>
      <c r="F8" s="14">
        <v>25</v>
      </c>
      <c r="G8" s="14">
        <v>25</v>
      </c>
      <c r="H8" s="14" t="s">
        <v>49</v>
      </c>
      <c r="I8" s="251">
        <f t="shared" si="1"/>
        <v>1.2042389210019269</v>
      </c>
      <c r="J8" s="14">
        <v>25</v>
      </c>
      <c r="K8" s="14">
        <v>24</v>
      </c>
      <c r="L8" s="14">
        <v>1</v>
      </c>
      <c r="M8" s="251">
        <f t="shared" si="2"/>
        <v>1.8037518037518037</v>
      </c>
      <c r="N8" s="14">
        <v>14</v>
      </c>
      <c r="O8" s="14">
        <v>14</v>
      </c>
      <c r="P8" s="14" t="s">
        <v>49</v>
      </c>
      <c r="Q8" s="251">
        <f t="shared" si="3"/>
        <v>1.6766467065868262</v>
      </c>
      <c r="R8" s="14">
        <v>18</v>
      </c>
      <c r="S8" s="14">
        <v>17</v>
      </c>
      <c r="T8" s="14">
        <v>1</v>
      </c>
      <c r="U8" s="251">
        <f t="shared" si="4"/>
        <v>2.666666666666667</v>
      </c>
    </row>
    <row r="9" spans="1:22" ht="20.100000000000001" customHeight="1">
      <c r="A9" s="250" t="s">
        <v>113</v>
      </c>
      <c r="B9" s="14">
        <v>172</v>
      </c>
      <c r="C9" s="14">
        <v>59</v>
      </c>
      <c r="D9" s="14">
        <v>113</v>
      </c>
      <c r="E9" s="251">
        <f t="shared" si="0"/>
        <v>8.1710213776722096</v>
      </c>
      <c r="F9" s="14">
        <v>152</v>
      </c>
      <c r="G9" s="14">
        <v>52</v>
      </c>
      <c r="H9" s="14">
        <v>100</v>
      </c>
      <c r="I9" s="251">
        <f t="shared" si="1"/>
        <v>7.3217726396917149</v>
      </c>
      <c r="J9" s="14">
        <v>124</v>
      </c>
      <c r="K9" s="14">
        <v>42</v>
      </c>
      <c r="L9" s="14">
        <v>82</v>
      </c>
      <c r="M9" s="251">
        <f t="shared" si="2"/>
        <v>8.9466089466089471</v>
      </c>
      <c r="N9" s="14">
        <v>111</v>
      </c>
      <c r="O9" s="14">
        <v>37</v>
      </c>
      <c r="P9" s="14">
        <v>74</v>
      </c>
      <c r="Q9" s="251">
        <f t="shared" si="3"/>
        <v>13.293413173652693</v>
      </c>
      <c r="R9" s="14">
        <v>107</v>
      </c>
      <c r="S9" s="14">
        <v>34</v>
      </c>
      <c r="T9" s="14">
        <v>73</v>
      </c>
      <c r="U9" s="251">
        <f t="shared" si="4"/>
        <v>15.851851851851853</v>
      </c>
    </row>
    <row r="10" spans="1:22" ht="20.100000000000001" customHeight="1">
      <c r="A10" s="250" t="s">
        <v>114</v>
      </c>
      <c r="B10" s="14">
        <v>13</v>
      </c>
      <c r="C10" s="14">
        <v>6</v>
      </c>
      <c r="D10" s="14">
        <v>7</v>
      </c>
      <c r="E10" s="251">
        <f t="shared" si="0"/>
        <v>0.61757719714964376</v>
      </c>
      <c r="F10" s="14">
        <v>20</v>
      </c>
      <c r="G10" s="14">
        <v>11</v>
      </c>
      <c r="H10" s="14">
        <v>9</v>
      </c>
      <c r="I10" s="251">
        <f t="shared" si="1"/>
        <v>0.96339113680154131</v>
      </c>
      <c r="J10" s="14">
        <v>24</v>
      </c>
      <c r="K10" s="14">
        <v>12</v>
      </c>
      <c r="L10" s="14">
        <v>12</v>
      </c>
      <c r="M10" s="251">
        <f t="shared" si="2"/>
        <v>1.7316017316017316</v>
      </c>
      <c r="N10" s="14">
        <v>35</v>
      </c>
      <c r="O10" s="14">
        <v>19</v>
      </c>
      <c r="P10" s="14">
        <v>16</v>
      </c>
      <c r="Q10" s="251">
        <f t="shared" si="3"/>
        <v>4.1916167664670656</v>
      </c>
      <c r="R10" s="14">
        <v>23</v>
      </c>
      <c r="S10" s="14">
        <v>18</v>
      </c>
      <c r="T10" s="14">
        <v>5</v>
      </c>
      <c r="U10" s="251">
        <f t="shared" si="4"/>
        <v>3.4074074074074074</v>
      </c>
    </row>
    <row r="11" spans="1:22" ht="20.100000000000001" customHeight="1">
      <c r="A11" s="250" t="s">
        <v>115</v>
      </c>
      <c r="B11" s="14" t="s">
        <v>116</v>
      </c>
      <c r="C11" s="14" t="s">
        <v>116</v>
      </c>
      <c r="D11" s="14" t="s">
        <v>116</v>
      </c>
      <c r="E11" s="14" t="s">
        <v>116</v>
      </c>
      <c r="F11" s="14">
        <v>8</v>
      </c>
      <c r="G11" s="14">
        <v>2</v>
      </c>
      <c r="H11" s="14">
        <v>6</v>
      </c>
      <c r="I11" s="251">
        <f t="shared" si="1"/>
        <v>0.38535645472061658</v>
      </c>
      <c r="J11" s="14">
        <v>3</v>
      </c>
      <c r="K11" s="14">
        <v>3</v>
      </c>
      <c r="L11" s="14" t="s">
        <v>116</v>
      </c>
      <c r="M11" s="251">
        <f t="shared" si="2"/>
        <v>0.21645021645021645</v>
      </c>
      <c r="N11" s="14" t="s">
        <v>49</v>
      </c>
      <c r="O11" s="14" t="s">
        <v>116</v>
      </c>
      <c r="P11" s="14" t="s">
        <v>116</v>
      </c>
      <c r="Q11" s="14" t="s">
        <v>116</v>
      </c>
      <c r="R11" s="14">
        <v>2</v>
      </c>
      <c r="S11" s="14">
        <v>2</v>
      </c>
      <c r="T11" s="14" t="s">
        <v>116</v>
      </c>
      <c r="U11" s="251">
        <f t="shared" si="4"/>
        <v>0.29629629629629628</v>
      </c>
    </row>
    <row r="12" spans="1:22" ht="20.100000000000001" customHeight="1" thickBot="1">
      <c r="A12" s="250" t="s">
        <v>117</v>
      </c>
      <c r="B12" s="14">
        <v>11</v>
      </c>
      <c r="C12" s="14">
        <v>2</v>
      </c>
      <c r="D12" s="14">
        <v>9</v>
      </c>
      <c r="E12" s="251">
        <f t="shared" si="0"/>
        <v>0.5225653206650831</v>
      </c>
      <c r="F12" s="14">
        <v>12</v>
      </c>
      <c r="G12" s="14">
        <v>1</v>
      </c>
      <c r="H12" s="14">
        <v>11</v>
      </c>
      <c r="I12" s="251">
        <f t="shared" si="1"/>
        <v>0.57803468208092479</v>
      </c>
      <c r="J12" s="14">
        <v>2</v>
      </c>
      <c r="K12" s="14" t="s">
        <v>116</v>
      </c>
      <c r="L12" s="14">
        <v>2</v>
      </c>
      <c r="M12" s="251">
        <f t="shared" si="2"/>
        <v>0.14430014430014429</v>
      </c>
      <c r="N12" s="14">
        <v>1</v>
      </c>
      <c r="O12" s="14" t="s">
        <v>116</v>
      </c>
      <c r="P12" s="14">
        <v>1</v>
      </c>
      <c r="Q12" s="251">
        <f t="shared" si="3"/>
        <v>0.11976047904191617</v>
      </c>
      <c r="R12" s="14">
        <v>5</v>
      </c>
      <c r="S12" s="14">
        <v>3</v>
      </c>
      <c r="T12" s="14">
        <v>2</v>
      </c>
      <c r="U12" s="288">
        <f t="shared" si="4"/>
        <v>0.74074074074074081</v>
      </c>
    </row>
    <row r="13" spans="1:22" ht="20.100000000000001" customHeight="1">
      <c r="A13" s="504"/>
      <c r="B13" s="506" t="s">
        <v>120</v>
      </c>
      <c r="C13" s="487"/>
      <c r="D13" s="487"/>
      <c r="E13" s="487"/>
      <c r="F13" s="506" t="s">
        <v>121</v>
      </c>
      <c r="G13" s="487"/>
      <c r="H13" s="487"/>
      <c r="I13" s="487"/>
      <c r="J13" s="506" t="s">
        <v>122</v>
      </c>
      <c r="K13" s="506"/>
      <c r="L13" s="506"/>
      <c r="M13" s="506"/>
      <c r="N13" s="475" t="s">
        <v>127</v>
      </c>
      <c r="O13" s="475"/>
      <c r="P13" s="475"/>
      <c r="Q13" s="475"/>
      <c r="R13" s="475" t="s">
        <v>628</v>
      </c>
      <c r="S13" s="475"/>
      <c r="T13" s="475"/>
      <c r="U13" s="475"/>
    </row>
    <row r="14" spans="1:22" ht="20.100000000000001" customHeight="1">
      <c r="A14" s="505"/>
      <c r="B14" s="479" t="s">
        <v>106</v>
      </c>
      <c r="C14" s="480"/>
      <c r="D14" s="480"/>
      <c r="E14" s="391" t="s">
        <v>107</v>
      </c>
      <c r="F14" s="479" t="s">
        <v>106</v>
      </c>
      <c r="G14" s="480"/>
      <c r="H14" s="480"/>
      <c r="I14" s="391" t="s">
        <v>107</v>
      </c>
      <c r="J14" s="479" t="s">
        <v>106</v>
      </c>
      <c r="K14" s="479"/>
      <c r="L14" s="479"/>
      <c r="M14" s="391" t="s">
        <v>107</v>
      </c>
      <c r="N14" s="479" t="s">
        <v>106</v>
      </c>
      <c r="O14" s="479"/>
      <c r="P14" s="479"/>
      <c r="Q14" s="391" t="s">
        <v>107</v>
      </c>
      <c r="R14" s="479" t="s">
        <v>106</v>
      </c>
      <c r="S14" s="479"/>
      <c r="T14" s="479"/>
      <c r="U14" s="391" t="s">
        <v>107</v>
      </c>
    </row>
    <row r="15" spans="1:22" ht="20.100000000000001" customHeight="1">
      <c r="A15" s="505"/>
      <c r="B15" s="17" t="s">
        <v>108</v>
      </c>
      <c r="C15" s="249" t="s">
        <v>53</v>
      </c>
      <c r="D15" s="249" t="s">
        <v>54</v>
      </c>
      <c r="E15" s="481"/>
      <c r="F15" s="17" t="s">
        <v>108</v>
      </c>
      <c r="G15" s="249" t="s">
        <v>53</v>
      </c>
      <c r="H15" s="249" t="s">
        <v>54</v>
      </c>
      <c r="I15" s="481"/>
      <c r="J15" s="17" t="s">
        <v>108</v>
      </c>
      <c r="K15" s="249" t="s">
        <v>53</v>
      </c>
      <c r="L15" s="249" t="s">
        <v>54</v>
      </c>
      <c r="M15" s="463"/>
      <c r="N15" s="17" t="s">
        <v>108</v>
      </c>
      <c r="O15" s="249" t="s">
        <v>53</v>
      </c>
      <c r="P15" s="249" t="s">
        <v>54</v>
      </c>
      <c r="Q15" s="463"/>
      <c r="R15" s="17" t="s">
        <v>108</v>
      </c>
      <c r="S15" s="249" t="s">
        <v>53</v>
      </c>
      <c r="T15" s="249" t="s">
        <v>54</v>
      </c>
      <c r="U15" s="463"/>
    </row>
    <row r="16" spans="1:22" ht="20.100000000000001" customHeight="1">
      <c r="A16" s="250" t="s">
        <v>109</v>
      </c>
      <c r="B16" s="14">
        <v>638</v>
      </c>
      <c r="C16" s="50">
        <v>502</v>
      </c>
      <c r="D16" s="50">
        <v>136</v>
      </c>
      <c r="E16" s="251">
        <f t="shared" ref="E16:M16" si="5">SUM(E17:E23)</f>
        <v>100.00000000000001</v>
      </c>
      <c r="F16" s="50">
        <f t="shared" si="5"/>
        <v>544</v>
      </c>
      <c r="G16" s="50">
        <f t="shared" si="5"/>
        <v>442</v>
      </c>
      <c r="H16" s="50">
        <f t="shared" si="5"/>
        <v>102</v>
      </c>
      <c r="I16" s="15">
        <f>SUM(I17:I23)</f>
        <v>100</v>
      </c>
      <c r="J16" s="50">
        <f t="shared" si="5"/>
        <v>387</v>
      </c>
      <c r="K16" s="50">
        <f t="shared" si="5"/>
        <v>302</v>
      </c>
      <c r="L16" s="50">
        <f t="shared" si="5"/>
        <v>85</v>
      </c>
      <c r="M16" s="15">
        <f t="shared" si="5"/>
        <v>100</v>
      </c>
      <c r="N16" s="40">
        <f>SUM(N17:N23)</f>
        <v>349</v>
      </c>
      <c r="O16" s="40">
        <f>SUM(O17:O23)</f>
        <v>295</v>
      </c>
      <c r="P16" s="40">
        <f t="shared" ref="P16" si="6">SUM(P17:P23)</f>
        <v>54</v>
      </c>
      <c r="Q16" s="41">
        <f>SUM(Q17:Q23)</f>
        <v>100</v>
      </c>
      <c r="R16" s="40">
        <f>SUM(R17:R23)</f>
        <v>266</v>
      </c>
      <c r="S16" s="40">
        <f>SUM(S17:S23)</f>
        <v>242</v>
      </c>
      <c r="T16" s="40">
        <f>SUM(T17:T23)</f>
        <v>24</v>
      </c>
      <c r="U16" s="41">
        <f>SUM(U17:U23)</f>
        <v>100</v>
      </c>
    </row>
    <row r="17" spans="1:21" ht="33">
      <c r="A17" s="250" t="s">
        <v>123</v>
      </c>
      <c r="B17" s="14">
        <v>419</v>
      </c>
      <c r="C17" s="14">
        <v>328</v>
      </c>
      <c r="D17" s="14">
        <v>91</v>
      </c>
      <c r="E17" s="251">
        <f t="shared" ref="E17:E23" si="7">IFERROR(B17/B$16*100,"-")</f>
        <v>65.67398119122258</v>
      </c>
      <c r="F17" s="14">
        <f t="shared" ref="F17:F23" si="8">SUM(G17:H17)</f>
        <v>446</v>
      </c>
      <c r="G17" s="14">
        <v>352</v>
      </c>
      <c r="H17" s="14">
        <v>94</v>
      </c>
      <c r="I17" s="15">
        <f t="shared" ref="I17:I23" si="9">IFERROR(F17/F$16*100,"-")</f>
        <v>81.985294117647058</v>
      </c>
      <c r="J17" s="14">
        <f t="shared" ref="J17:J23" si="10">SUM(K17:L17)</f>
        <v>302</v>
      </c>
      <c r="K17" s="14">
        <v>222</v>
      </c>
      <c r="L17" s="14">
        <v>80</v>
      </c>
      <c r="M17" s="15">
        <f t="shared" ref="M17:M23" si="11">IFERROR(J17/J$16*100,"-")</f>
        <v>78.036175710594307</v>
      </c>
      <c r="N17" s="40">
        <f>O17+P17</f>
        <v>236</v>
      </c>
      <c r="O17" s="40">
        <v>195</v>
      </c>
      <c r="P17" s="40">
        <v>41</v>
      </c>
      <c r="Q17" s="41">
        <f>IFERROR(N17/N$16*100,"-")</f>
        <v>67.621776504297998</v>
      </c>
      <c r="R17" s="40">
        <f>S17+T17</f>
        <v>207</v>
      </c>
      <c r="S17" s="40">
        <v>185</v>
      </c>
      <c r="T17" s="40">
        <v>22</v>
      </c>
      <c r="U17" s="41">
        <f>IFERROR(R17/R$16*100,"-")</f>
        <v>77.819548872180462</v>
      </c>
    </row>
    <row r="18" spans="1:21" ht="33" customHeight="1">
      <c r="A18" s="250" t="s">
        <v>124</v>
      </c>
      <c r="B18" s="14">
        <v>128</v>
      </c>
      <c r="C18" s="14">
        <v>113</v>
      </c>
      <c r="D18" s="14">
        <v>15</v>
      </c>
      <c r="E18" s="251">
        <f t="shared" si="7"/>
        <v>20.062695924764888</v>
      </c>
      <c r="F18" s="14">
        <f t="shared" si="8"/>
        <v>76</v>
      </c>
      <c r="G18" s="14">
        <v>68</v>
      </c>
      <c r="H18" s="14">
        <v>8</v>
      </c>
      <c r="I18" s="15">
        <f t="shared" si="9"/>
        <v>13.970588235294118</v>
      </c>
      <c r="J18" s="14">
        <f t="shared" si="10"/>
        <v>72</v>
      </c>
      <c r="K18" s="14">
        <v>68</v>
      </c>
      <c r="L18" s="14">
        <v>4</v>
      </c>
      <c r="M18" s="15">
        <f t="shared" si="11"/>
        <v>18.604651162790699</v>
      </c>
      <c r="N18" s="40">
        <f>O18+P18</f>
        <v>96</v>
      </c>
      <c r="O18" s="40">
        <v>83</v>
      </c>
      <c r="P18" s="40">
        <v>13</v>
      </c>
      <c r="Q18" s="41">
        <f t="shared" ref="Q18:Q19" si="12">IFERROR(N18/N$16*100,"-")</f>
        <v>27.507163323782237</v>
      </c>
      <c r="R18" s="40">
        <f t="shared" ref="R18:R23" si="13">S18+T18</f>
        <v>42</v>
      </c>
      <c r="S18" s="40">
        <v>40</v>
      </c>
      <c r="T18" s="40">
        <v>2</v>
      </c>
      <c r="U18" s="41">
        <f t="shared" ref="U18:U23" si="14">IFERROR(R18/R$16*100,"-")</f>
        <v>15.789473684210526</v>
      </c>
    </row>
    <row r="19" spans="1:21" ht="30.95" customHeight="1">
      <c r="A19" s="250" t="s">
        <v>125</v>
      </c>
      <c r="B19" s="14">
        <v>19</v>
      </c>
      <c r="C19" s="14">
        <v>19</v>
      </c>
      <c r="D19" s="14" t="s">
        <v>116</v>
      </c>
      <c r="E19" s="251">
        <f t="shared" si="7"/>
        <v>2.9780564263322882</v>
      </c>
      <c r="F19" s="14">
        <f t="shared" si="8"/>
        <v>22</v>
      </c>
      <c r="G19" s="14">
        <v>22</v>
      </c>
      <c r="H19" s="14" t="s">
        <v>50</v>
      </c>
      <c r="I19" s="15">
        <f t="shared" si="9"/>
        <v>4.0441176470588234</v>
      </c>
      <c r="J19" s="14">
        <f t="shared" si="10"/>
        <v>13</v>
      </c>
      <c r="K19" s="14">
        <v>12</v>
      </c>
      <c r="L19" s="14">
        <v>1</v>
      </c>
      <c r="M19" s="15">
        <f t="shared" si="11"/>
        <v>3.3591731266149871</v>
      </c>
      <c r="N19" s="40">
        <f t="shared" ref="N19:N23" si="15">O19+P19</f>
        <v>17</v>
      </c>
      <c r="O19" s="40">
        <v>17</v>
      </c>
      <c r="P19" s="53">
        <v>0</v>
      </c>
      <c r="Q19" s="41">
        <f t="shared" si="12"/>
        <v>4.8710601719197708</v>
      </c>
      <c r="R19" s="40">
        <f t="shared" si="13"/>
        <v>17</v>
      </c>
      <c r="S19" s="40">
        <v>17</v>
      </c>
      <c r="T19" s="53">
        <v>0</v>
      </c>
      <c r="U19" s="41">
        <f t="shared" si="14"/>
        <v>6.3909774436090219</v>
      </c>
    </row>
    <row r="20" spans="1:21" ht="20.100000000000001" customHeight="1">
      <c r="A20" s="250" t="s">
        <v>113</v>
      </c>
      <c r="B20" s="14">
        <v>58</v>
      </c>
      <c r="C20" s="14">
        <v>30</v>
      </c>
      <c r="D20" s="14">
        <v>28</v>
      </c>
      <c r="E20" s="251">
        <f t="shared" si="7"/>
        <v>9.0909090909090917</v>
      </c>
      <c r="F20" s="14">
        <f>SUM(G20:H20)</f>
        <v>0</v>
      </c>
      <c r="G20" s="14" t="s">
        <v>50</v>
      </c>
      <c r="H20" s="14" t="s">
        <v>50</v>
      </c>
      <c r="I20" s="14">
        <f t="shared" si="9"/>
        <v>0</v>
      </c>
      <c r="J20" s="14">
        <f>SUM(K20:L20)</f>
        <v>0</v>
      </c>
      <c r="K20" s="14" t="s">
        <v>50</v>
      </c>
      <c r="L20" s="14" t="s">
        <v>50</v>
      </c>
      <c r="M20" s="14">
        <f t="shared" si="11"/>
        <v>0</v>
      </c>
      <c r="N20" s="53">
        <f t="shared" si="15"/>
        <v>0</v>
      </c>
      <c r="O20" s="53">
        <v>0</v>
      </c>
      <c r="P20" s="53">
        <v>0</v>
      </c>
      <c r="Q20" s="53">
        <v>0</v>
      </c>
      <c r="R20" s="53">
        <f t="shared" si="13"/>
        <v>0</v>
      </c>
      <c r="S20" s="53">
        <v>0</v>
      </c>
      <c r="T20" s="53">
        <v>0</v>
      </c>
      <c r="U20" s="53">
        <f t="shared" si="14"/>
        <v>0</v>
      </c>
    </row>
    <row r="21" spans="1:21" ht="20.100000000000001" customHeight="1">
      <c r="A21" s="250" t="s">
        <v>114</v>
      </c>
      <c r="B21" s="14">
        <v>7</v>
      </c>
      <c r="C21" s="14">
        <v>6</v>
      </c>
      <c r="D21" s="14">
        <v>1</v>
      </c>
      <c r="E21" s="251">
        <f t="shared" si="7"/>
        <v>1.0971786833855799</v>
      </c>
      <c r="F21" s="14">
        <f t="shared" si="8"/>
        <v>0</v>
      </c>
      <c r="G21" s="14" t="s">
        <v>50</v>
      </c>
      <c r="H21" s="14" t="s">
        <v>50</v>
      </c>
      <c r="I21" s="14">
        <f t="shared" si="9"/>
        <v>0</v>
      </c>
      <c r="J21" s="14">
        <f t="shared" si="10"/>
        <v>0</v>
      </c>
      <c r="K21" s="14" t="s">
        <v>50</v>
      </c>
      <c r="L21" s="14" t="s">
        <v>50</v>
      </c>
      <c r="M21" s="14">
        <f t="shared" si="11"/>
        <v>0</v>
      </c>
      <c r="N21" s="53">
        <f t="shared" si="15"/>
        <v>0</v>
      </c>
      <c r="O21" s="53">
        <v>0</v>
      </c>
      <c r="P21" s="53">
        <v>0</v>
      </c>
      <c r="Q21" s="53">
        <v>0</v>
      </c>
      <c r="R21" s="53">
        <f t="shared" si="13"/>
        <v>0</v>
      </c>
      <c r="S21" s="53">
        <v>0</v>
      </c>
      <c r="T21" s="53">
        <v>0</v>
      </c>
      <c r="U21" s="53">
        <f t="shared" si="14"/>
        <v>0</v>
      </c>
    </row>
    <row r="22" spans="1:21" ht="20.100000000000001" customHeight="1">
      <c r="A22" s="250" t="s">
        <v>115</v>
      </c>
      <c r="B22" s="14">
        <v>5</v>
      </c>
      <c r="C22" s="14">
        <v>5</v>
      </c>
      <c r="D22" s="14" t="s">
        <v>49</v>
      </c>
      <c r="E22" s="251">
        <f t="shared" si="7"/>
        <v>0.7836990595611284</v>
      </c>
      <c r="F22" s="14">
        <f>SUM(G22:H22)</f>
        <v>0</v>
      </c>
      <c r="G22" s="14" t="s">
        <v>50</v>
      </c>
      <c r="H22" s="14" t="s">
        <v>50</v>
      </c>
      <c r="I22" s="14">
        <f t="shared" si="9"/>
        <v>0</v>
      </c>
      <c r="J22" s="14">
        <f>SUM(K22:L22)</f>
        <v>0</v>
      </c>
      <c r="K22" s="14" t="s">
        <v>50</v>
      </c>
      <c r="L22" s="14" t="s">
        <v>50</v>
      </c>
      <c r="M22" s="14">
        <f t="shared" si="11"/>
        <v>0</v>
      </c>
      <c r="N22" s="53">
        <f t="shared" si="15"/>
        <v>0</v>
      </c>
      <c r="O22" s="53">
        <v>0</v>
      </c>
      <c r="P22" s="53">
        <v>0</v>
      </c>
      <c r="Q22" s="53">
        <v>0</v>
      </c>
      <c r="R22" s="53">
        <f t="shared" si="13"/>
        <v>0</v>
      </c>
      <c r="S22" s="53">
        <v>0</v>
      </c>
      <c r="T22" s="53">
        <v>0</v>
      </c>
      <c r="U22" s="53">
        <f t="shared" si="14"/>
        <v>0</v>
      </c>
    </row>
    <row r="23" spans="1:21" ht="20.100000000000001" customHeight="1">
      <c r="A23" s="252" t="s">
        <v>117</v>
      </c>
      <c r="B23" s="51">
        <v>2</v>
      </c>
      <c r="C23" s="51">
        <v>1</v>
      </c>
      <c r="D23" s="51">
        <v>1</v>
      </c>
      <c r="E23" s="253">
        <f t="shared" si="7"/>
        <v>0.31347962382445138</v>
      </c>
      <c r="F23" s="51">
        <f t="shared" si="8"/>
        <v>0</v>
      </c>
      <c r="G23" s="51" t="s">
        <v>50</v>
      </c>
      <c r="H23" s="51" t="s">
        <v>50</v>
      </c>
      <c r="I23" s="51">
        <f t="shared" si="9"/>
        <v>0</v>
      </c>
      <c r="J23" s="51">
        <f t="shared" si="10"/>
        <v>0</v>
      </c>
      <c r="K23" s="51" t="s">
        <v>50</v>
      </c>
      <c r="L23" s="51" t="s">
        <v>50</v>
      </c>
      <c r="M23" s="51">
        <f t="shared" si="11"/>
        <v>0</v>
      </c>
      <c r="N23" s="54">
        <f t="shared" si="15"/>
        <v>0</v>
      </c>
      <c r="O23" s="54">
        <v>0</v>
      </c>
      <c r="P23" s="54">
        <v>0</v>
      </c>
      <c r="Q23" s="54">
        <v>0</v>
      </c>
      <c r="R23" s="54">
        <f t="shared" si="13"/>
        <v>0</v>
      </c>
      <c r="S23" s="54">
        <v>0</v>
      </c>
      <c r="T23" s="54">
        <v>0</v>
      </c>
      <c r="U23" s="54">
        <f t="shared" si="14"/>
        <v>0</v>
      </c>
    </row>
    <row r="24" spans="1:21">
      <c r="A24" s="388" t="s">
        <v>126</v>
      </c>
      <c r="B24" s="388"/>
      <c r="C24" s="388"/>
      <c r="D24" s="388"/>
      <c r="E24" s="388"/>
      <c r="F24" s="388"/>
      <c r="G24" s="388"/>
      <c r="H24" s="52"/>
      <c r="I24" s="52"/>
      <c r="J24" s="52"/>
      <c r="K24" s="52"/>
      <c r="L24" s="52"/>
      <c r="M24" s="52"/>
      <c r="N24" s="254"/>
      <c r="O24" s="254"/>
      <c r="P24" s="254"/>
      <c r="Q24" s="52"/>
      <c r="R24" s="52"/>
      <c r="S24" s="52"/>
      <c r="T24" s="52"/>
      <c r="U24" s="52"/>
    </row>
    <row r="25" spans="1:21" ht="87.95" customHeight="1">
      <c r="A25" s="502" t="s">
        <v>737</v>
      </c>
      <c r="B25" s="503"/>
      <c r="C25" s="503"/>
      <c r="D25" s="503"/>
      <c r="E25" s="503"/>
      <c r="F25" s="503"/>
      <c r="G25" s="503"/>
      <c r="H25" s="503"/>
      <c r="I25" s="503"/>
      <c r="J25" s="503"/>
      <c r="K25" s="503"/>
      <c r="L25" s="503"/>
      <c r="M25" s="503"/>
      <c r="N25" s="503"/>
      <c r="O25" s="503"/>
      <c r="P25" s="503"/>
      <c r="Q25" s="503"/>
      <c r="R25" s="503"/>
      <c r="S25" s="503"/>
      <c r="T25" s="503"/>
      <c r="U25" s="503"/>
    </row>
  </sheetData>
  <mergeCells count="35">
    <mergeCell ref="A1:U1"/>
    <mergeCell ref="A2:A4"/>
    <mergeCell ref="B2:E2"/>
    <mergeCell ref="J2:M2"/>
    <mergeCell ref="N3:P3"/>
    <mergeCell ref="Q3:Q4"/>
    <mergeCell ref="B3:D3"/>
    <mergeCell ref="E3:E4"/>
    <mergeCell ref="J3:L3"/>
    <mergeCell ref="R2:U2"/>
    <mergeCell ref="R3:T3"/>
    <mergeCell ref="U3:U4"/>
    <mergeCell ref="F2:I2"/>
    <mergeCell ref="F3:H3"/>
    <mergeCell ref="M3:M4"/>
    <mergeCell ref="N2:Q2"/>
    <mergeCell ref="A24:G24"/>
    <mergeCell ref="A25:U25"/>
    <mergeCell ref="A13:A15"/>
    <mergeCell ref="B13:E13"/>
    <mergeCell ref="U14:U15"/>
    <mergeCell ref="B14:D14"/>
    <mergeCell ref="F14:H14"/>
    <mergeCell ref="E14:E15"/>
    <mergeCell ref="N13:Q13"/>
    <mergeCell ref="N14:P14"/>
    <mergeCell ref="Q14:Q15"/>
    <mergeCell ref="J14:L14"/>
    <mergeCell ref="F13:I13"/>
    <mergeCell ref="J13:M13"/>
    <mergeCell ref="I3:I4"/>
    <mergeCell ref="I14:I15"/>
    <mergeCell ref="M14:M15"/>
    <mergeCell ref="R13:U13"/>
    <mergeCell ref="R14:T14"/>
  </mergeCells>
  <phoneticPr fontId="37" type="noConversion"/>
  <hyperlinks>
    <hyperlink ref="V1" location="本篇表次!A1" display="回本篇表次"/>
  </hyperlinks>
  <printOptions horizontalCentered="1"/>
  <pageMargins left="0.70866141732283472" right="0.70866141732283472" top="0.74803149606299213" bottom="0.74803149606299213" header="0.31496062992125984" footer="0.31496062992125984"/>
  <pageSetup paperSize="9" scale="7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L26"/>
  <sheetViews>
    <sheetView showGridLines="0" zoomScale="120" zoomScaleNormal="120" workbookViewId="0">
      <selection sqref="A1:AF1"/>
    </sheetView>
  </sheetViews>
  <sheetFormatPr defaultColWidth="9" defaultRowHeight="16.5"/>
  <cols>
    <col min="1" max="1" width="19" customWidth="1"/>
    <col min="11" max="11" width="9" customWidth="1"/>
    <col min="12" max="12" width="12.625" bestFit="1" customWidth="1"/>
  </cols>
  <sheetData>
    <row r="1" spans="1:12" ht="24" customHeight="1">
      <c r="A1" s="389" t="s">
        <v>559</v>
      </c>
      <c r="B1" s="389"/>
      <c r="C1" s="389"/>
      <c r="D1" s="389"/>
      <c r="E1" s="389"/>
      <c r="F1" s="389"/>
      <c r="G1" s="389"/>
      <c r="H1" s="389"/>
      <c r="I1" s="389"/>
      <c r="J1" s="389"/>
      <c r="K1" s="389"/>
      <c r="L1" s="242" t="s">
        <v>548</v>
      </c>
    </row>
    <row r="2" spans="1:12" ht="20.100000000000001" customHeight="1">
      <c r="A2" s="55"/>
      <c r="B2" s="479" t="s">
        <v>55</v>
      </c>
      <c r="C2" s="480"/>
      <c r="D2" s="479" t="s">
        <v>56</v>
      </c>
      <c r="E2" s="480"/>
      <c r="F2" s="479" t="s">
        <v>57</v>
      </c>
      <c r="G2" s="395"/>
      <c r="H2" s="479" t="s">
        <v>58</v>
      </c>
      <c r="I2" s="395"/>
      <c r="J2" s="479" t="s">
        <v>69</v>
      </c>
      <c r="K2" s="395"/>
    </row>
    <row r="3" spans="1:12" ht="20.100000000000001" customHeight="1">
      <c r="A3" s="4"/>
      <c r="B3" s="8" t="s">
        <v>59</v>
      </c>
      <c r="C3" s="8" t="s">
        <v>60</v>
      </c>
      <c r="D3" s="8" t="s">
        <v>59</v>
      </c>
      <c r="E3" s="8" t="s">
        <v>60</v>
      </c>
      <c r="F3" s="8" t="s">
        <v>59</v>
      </c>
      <c r="G3" s="8" t="s">
        <v>60</v>
      </c>
      <c r="H3" s="8" t="s">
        <v>59</v>
      </c>
      <c r="I3" s="8" t="s">
        <v>60</v>
      </c>
      <c r="J3" s="8" t="s">
        <v>59</v>
      </c>
      <c r="K3" s="8" t="s">
        <v>60</v>
      </c>
    </row>
    <row r="4" spans="1:12" ht="20.100000000000001" customHeight="1">
      <c r="A4" s="56" t="s">
        <v>61</v>
      </c>
      <c r="B4" s="5">
        <f>SUM(B5:B6)</f>
        <v>2105</v>
      </c>
      <c r="C4" s="30">
        <f>SUM(B5:B6)/B4*100</f>
        <v>100</v>
      </c>
      <c r="D4" s="10">
        <f>SUM(D5:D6)</f>
        <v>2076</v>
      </c>
      <c r="E4" s="30">
        <f>SUM(D5:D6)/D4*100</f>
        <v>100</v>
      </c>
      <c r="F4" s="5">
        <f t="shared" ref="F4" si="0">SUM(F5:F6)</f>
        <v>1386</v>
      </c>
      <c r="G4" s="30">
        <f>SUM(F5:F6)/F4*100</f>
        <v>100</v>
      </c>
      <c r="H4" s="5">
        <f>SUM(H5:H6)</f>
        <v>835</v>
      </c>
      <c r="I4" s="30">
        <f>SUM(H5:H6)/H4*100</f>
        <v>100</v>
      </c>
      <c r="J4" s="5">
        <f>SUM(J5:J6)</f>
        <v>675</v>
      </c>
      <c r="K4" s="30">
        <f>SUM(J5:J6)/J4*100</f>
        <v>100</v>
      </c>
    </row>
    <row r="5" spans="1:12">
      <c r="A5" s="57" t="s">
        <v>62</v>
      </c>
      <c r="B5" s="58">
        <v>1547</v>
      </c>
      <c r="C5" s="36">
        <f t="shared" ref="C5:C12" si="1">IFERROR(B5/B$4*100,"-")</f>
        <v>73.4916864608076</v>
      </c>
      <c r="D5" s="5">
        <v>1528</v>
      </c>
      <c r="E5" s="36">
        <f t="shared" ref="E5:E12" si="2">IFERROR(D5/D$4*100,"-")</f>
        <v>73.603082851637765</v>
      </c>
      <c r="F5" s="5">
        <v>1000</v>
      </c>
      <c r="G5" s="36">
        <f t="shared" ref="G5:G12" si="3">IFERROR(F5/F$4*100,"-")</f>
        <v>72.150072150072148</v>
      </c>
      <c r="H5" s="5">
        <v>596</v>
      </c>
      <c r="I5" s="36">
        <f t="shared" ref="I5:I12" si="4">IFERROR(H5/H$4*100,"-")</f>
        <v>71.377245508982028</v>
      </c>
      <c r="J5" s="5">
        <v>468</v>
      </c>
      <c r="K5" s="36">
        <f t="shared" ref="K5:K12" si="5">IFERROR(J5/H$15*100,"-")</f>
        <v>134.09742120343839</v>
      </c>
    </row>
    <row r="6" spans="1:12" ht="17.100000000000001" customHeight="1">
      <c r="A6" s="59" t="s">
        <v>63</v>
      </c>
      <c r="B6" s="60">
        <v>558</v>
      </c>
      <c r="C6" s="49">
        <f t="shared" si="1"/>
        <v>26.508313539192397</v>
      </c>
      <c r="D6" s="7">
        <v>548</v>
      </c>
      <c r="E6" s="49">
        <f t="shared" si="2"/>
        <v>26.396917148362238</v>
      </c>
      <c r="F6" s="7">
        <v>386</v>
      </c>
      <c r="G6" s="49">
        <f t="shared" si="3"/>
        <v>27.849927849927852</v>
      </c>
      <c r="H6" s="7">
        <v>239</v>
      </c>
      <c r="I6" s="49">
        <f t="shared" si="4"/>
        <v>28.622754491017965</v>
      </c>
      <c r="J6" s="7">
        <v>207</v>
      </c>
      <c r="K6" s="49">
        <f t="shared" si="5"/>
        <v>59.312320916905449</v>
      </c>
    </row>
    <row r="7" spans="1:12" ht="20.100000000000001" customHeight="1">
      <c r="A7" s="24" t="s">
        <v>128</v>
      </c>
      <c r="B7" s="5">
        <v>19</v>
      </c>
      <c r="C7" s="36">
        <f t="shared" si="1"/>
        <v>0.90261282660332542</v>
      </c>
      <c r="D7" s="5">
        <v>19</v>
      </c>
      <c r="E7" s="36">
        <f t="shared" si="2"/>
        <v>0.91522157996146436</v>
      </c>
      <c r="F7" s="5">
        <v>18</v>
      </c>
      <c r="G7" s="36">
        <f t="shared" si="3"/>
        <v>1.2987012987012987</v>
      </c>
      <c r="H7" s="5">
        <v>7</v>
      </c>
      <c r="I7" s="36">
        <f t="shared" si="4"/>
        <v>0.83832335329341312</v>
      </c>
      <c r="J7" s="5">
        <v>15</v>
      </c>
      <c r="K7" s="36">
        <f t="shared" si="5"/>
        <v>4.2979942693409736</v>
      </c>
    </row>
    <row r="8" spans="1:12" ht="20.100000000000001" customHeight="1">
      <c r="A8" s="24" t="s">
        <v>129</v>
      </c>
      <c r="B8" s="5">
        <v>104</v>
      </c>
      <c r="C8" s="36">
        <f t="shared" si="1"/>
        <v>4.9406175771971501</v>
      </c>
      <c r="D8" s="5">
        <v>107</v>
      </c>
      <c r="E8" s="36">
        <f t="shared" si="2"/>
        <v>5.1541425818882463</v>
      </c>
      <c r="F8" s="5">
        <v>66</v>
      </c>
      <c r="G8" s="36">
        <f t="shared" si="3"/>
        <v>4.7619047619047619</v>
      </c>
      <c r="H8" s="5">
        <v>55</v>
      </c>
      <c r="I8" s="36">
        <f t="shared" si="4"/>
        <v>6.5868263473053901</v>
      </c>
      <c r="J8" s="5">
        <v>42</v>
      </c>
      <c r="K8" s="36">
        <f t="shared" si="5"/>
        <v>12.034383954154727</v>
      </c>
    </row>
    <row r="9" spans="1:12" ht="20.100000000000001" customHeight="1">
      <c r="A9" s="24" t="s">
        <v>130</v>
      </c>
      <c r="B9" s="5">
        <v>227</v>
      </c>
      <c r="C9" s="36">
        <f t="shared" si="1"/>
        <v>10.783847980997626</v>
      </c>
      <c r="D9" s="5">
        <v>248</v>
      </c>
      <c r="E9" s="36">
        <f t="shared" si="2"/>
        <v>11.946050096339114</v>
      </c>
      <c r="F9" s="5">
        <v>185</v>
      </c>
      <c r="G9" s="36">
        <f t="shared" si="3"/>
        <v>13.347763347763347</v>
      </c>
      <c r="H9" s="5">
        <v>119</v>
      </c>
      <c r="I9" s="36">
        <f t="shared" si="4"/>
        <v>14.251497005988023</v>
      </c>
      <c r="J9" s="5">
        <v>81</v>
      </c>
      <c r="K9" s="36">
        <f t="shared" si="5"/>
        <v>23.209169054441261</v>
      </c>
    </row>
    <row r="10" spans="1:12" ht="20.100000000000001" customHeight="1">
      <c r="A10" s="24" t="s">
        <v>131</v>
      </c>
      <c r="B10" s="5">
        <v>353</v>
      </c>
      <c r="C10" s="36">
        <f t="shared" si="1"/>
        <v>16.769596199524941</v>
      </c>
      <c r="D10" s="5">
        <v>304</v>
      </c>
      <c r="E10" s="36">
        <f t="shared" si="2"/>
        <v>14.64354527938343</v>
      </c>
      <c r="F10" s="5">
        <v>209</v>
      </c>
      <c r="G10" s="36">
        <f t="shared" si="3"/>
        <v>15.079365079365079</v>
      </c>
      <c r="H10" s="5">
        <v>112</v>
      </c>
      <c r="I10" s="36">
        <f t="shared" si="4"/>
        <v>13.41317365269461</v>
      </c>
      <c r="J10" s="5">
        <v>115</v>
      </c>
      <c r="K10" s="36">
        <f t="shared" si="5"/>
        <v>32.951289398280807</v>
      </c>
    </row>
    <row r="11" spans="1:12" ht="20.100000000000001" customHeight="1">
      <c r="A11" s="24" t="s">
        <v>132</v>
      </c>
      <c r="B11" s="5">
        <v>557</v>
      </c>
      <c r="C11" s="36">
        <f t="shared" si="1"/>
        <v>26.460807600950119</v>
      </c>
      <c r="D11" s="5">
        <v>539</v>
      </c>
      <c r="E11" s="36">
        <f t="shared" si="2"/>
        <v>25.96339113680154</v>
      </c>
      <c r="F11" s="5">
        <v>345</v>
      </c>
      <c r="G11" s="36">
        <f t="shared" si="3"/>
        <v>24.891774891774894</v>
      </c>
      <c r="H11" s="5">
        <v>217</v>
      </c>
      <c r="I11" s="36">
        <f t="shared" si="4"/>
        <v>25.988023952095809</v>
      </c>
      <c r="J11" s="5">
        <v>173</v>
      </c>
      <c r="K11" s="36">
        <f t="shared" si="5"/>
        <v>49.570200573065904</v>
      </c>
    </row>
    <row r="12" spans="1:12" ht="20.100000000000001" customHeight="1" thickBot="1">
      <c r="A12" s="37" t="s">
        <v>133</v>
      </c>
      <c r="B12" s="26">
        <v>845</v>
      </c>
      <c r="C12" s="61">
        <f t="shared" si="1"/>
        <v>40.142517814726844</v>
      </c>
      <c r="D12" s="26">
        <v>859</v>
      </c>
      <c r="E12" s="61">
        <f t="shared" si="2"/>
        <v>41.377649325626201</v>
      </c>
      <c r="F12" s="26">
        <v>563</v>
      </c>
      <c r="G12" s="61">
        <f t="shared" si="3"/>
        <v>40.620490620490621</v>
      </c>
      <c r="H12" s="26">
        <v>325</v>
      </c>
      <c r="I12" s="61">
        <f t="shared" si="4"/>
        <v>38.922155688622759</v>
      </c>
      <c r="J12" s="26">
        <v>249</v>
      </c>
      <c r="K12" s="61">
        <f t="shared" si="5"/>
        <v>71.346704871060169</v>
      </c>
    </row>
    <row r="13" spans="1:12" ht="20.100000000000001" customHeight="1">
      <c r="A13" s="4"/>
      <c r="B13" s="506" t="s">
        <v>70</v>
      </c>
      <c r="C13" s="487"/>
      <c r="D13" s="506" t="s">
        <v>71</v>
      </c>
      <c r="E13" s="487"/>
      <c r="F13" s="463" t="s">
        <v>72</v>
      </c>
      <c r="G13" s="474"/>
      <c r="H13" s="463" t="s">
        <v>135</v>
      </c>
      <c r="I13" s="474"/>
      <c r="J13" s="463" t="s">
        <v>629</v>
      </c>
      <c r="K13" s="474"/>
    </row>
    <row r="14" spans="1:12" ht="20.100000000000001" customHeight="1">
      <c r="A14" s="4"/>
      <c r="B14" s="8" t="s">
        <v>59</v>
      </c>
      <c r="C14" s="8" t="s">
        <v>60</v>
      </c>
      <c r="D14" s="8" t="s">
        <v>59</v>
      </c>
      <c r="E14" s="8" t="s">
        <v>60</v>
      </c>
      <c r="F14" s="8" t="s">
        <v>59</v>
      </c>
      <c r="G14" s="8" t="s">
        <v>60</v>
      </c>
      <c r="H14" s="8" t="s">
        <v>59</v>
      </c>
      <c r="I14" s="8" t="s">
        <v>60</v>
      </c>
      <c r="J14" s="8" t="s">
        <v>59</v>
      </c>
      <c r="K14" s="8" t="s">
        <v>60</v>
      </c>
    </row>
    <row r="15" spans="1:12" ht="20.100000000000001" customHeight="1">
      <c r="A15" s="56" t="s">
        <v>61</v>
      </c>
      <c r="B15" s="5">
        <f>SUM(B16:B17)</f>
        <v>638</v>
      </c>
      <c r="C15" s="30">
        <f>SUM(B16:B17)/B15*100</f>
        <v>100</v>
      </c>
      <c r="D15" s="10">
        <f>SUM(D18:D23)</f>
        <v>544</v>
      </c>
      <c r="E15" s="30">
        <f>SUM(D16:D17)/D15*100</f>
        <v>100</v>
      </c>
      <c r="F15" s="10">
        <f>SUM(F18:F23)</f>
        <v>387</v>
      </c>
      <c r="G15" s="30">
        <f>SUM(F16:F17)/F15*100</f>
        <v>100</v>
      </c>
      <c r="H15" s="40">
        <f>SUM(H16:H17)</f>
        <v>349</v>
      </c>
      <c r="I15" s="41">
        <f>SUM(I16:I17)</f>
        <v>100</v>
      </c>
      <c r="J15" s="40">
        <f>SUM(J16:J17)</f>
        <v>266</v>
      </c>
      <c r="K15" s="41">
        <f>SUM(K16:K17)</f>
        <v>100</v>
      </c>
    </row>
    <row r="16" spans="1:12">
      <c r="A16" s="57" t="s">
        <v>62</v>
      </c>
      <c r="B16" s="58">
        <v>502</v>
      </c>
      <c r="C16" s="36">
        <f t="shared" ref="C16:C23" si="6">IFERROR(B16/B$15*100,"-")</f>
        <v>78.683385579937308</v>
      </c>
      <c r="D16" s="5">
        <v>442</v>
      </c>
      <c r="E16" s="36">
        <f t="shared" ref="E16:E23" si="7">IFERROR(D16/D$15*100,"-")</f>
        <v>81.25</v>
      </c>
      <c r="F16" s="5">
        <v>302</v>
      </c>
      <c r="G16" s="36">
        <f t="shared" ref="G16:G23" si="8">IFERROR(F16/F$15*100,"-")</f>
        <v>78.036175710594307</v>
      </c>
      <c r="H16" s="40">
        <v>295</v>
      </c>
      <c r="I16" s="41">
        <f>IFERROR(H16/H$15*100,"-")</f>
        <v>84.527220630372497</v>
      </c>
      <c r="J16" s="40">
        <v>242</v>
      </c>
      <c r="K16" s="41">
        <f>IFERROR(J16/J$15*100,"-")</f>
        <v>90.977443609022558</v>
      </c>
    </row>
    <row r="17" spans="1:11" ht="17.100000000000001" customHeight="1">
      <c r="A17" s="59" t="s">
        <v>63</v>
      </c>
      <c r="B17" s="60">
        <v>136</v>
      </c>
      <c r="C17" s="49">
        <f t="shared" si="6"/>
        <v>21.316614420062695</v>
      </c>
      <c r="D17" s="7">
        <v>102</v>
      </c>
      <c r="E17" s="49">
        <f t="shared" si="7"/>
        <v>18.75</v>
      </c>
      <c r="F17" s="7">
        <v>85</v>
      </c>
      <c r="G17" s="49">
        <f t="shared" si="8"/>
        <v>21.963824289405682</v>
      </c>
      <c r="H17" s="40">
        <v>54</v>
      </c>
      <c r="I17" s="41">
        <f>IFERROR(H17/H$15*100,"-")</f>
        <v>15.472779369627506</v>
      </c>
      <c r="J17" s="40">
        <v>24</v>
      </c>
      <c r="K17" s="47">
        <f>IFERROR(J17/J$15*100,"-")</f>
        <v>9.0225563909774422</v>
      </c>
    </row>
    <row r="18" spans="1:11" ht="20.100000000000001" customHeight="1">
      <c r="A18" s="24" t="s">
        <v>128</v>
      </c>
      <c r="B18" s="5">
        <v>7</v>
      </c>
      <c r="C18" s="36">
        <f t="shared" si="6"/>
        <v>1.0971786833855799</v>
      </c>
      <c r="D18" s="5">
        <v>2</v>
      </c>
      <c r="E18" s="36">
        <f t="shared" si="7"/>
        <v>0.36764705882352938</v>
      </c>
      <c r="F18" s="5">
        <v>1</v>
      </c>
      <c r="G18" s="36">
        <f t="shared" si="8"/>
        <v>0.2583979328165375</v>
      </c>
      <c r="H18" s="212">
        <v>1</v>
      </c>
      <c r="I18" s="309">
        <f>IFERROR(H18/H$15*100,"-")</f>
        <v>0.28653295128939826</v>
      </c>
      <c r="J18" s="212">
        <v>3</v>
      </c>
      <c r="K18" s="41">
        <f>IFERROR(J18/J$15*100,"-")</f>
        <v>1.1278195488721803</v>
      </c>
    </row>
    <row r="19" spans="1:11" ht="20.100000000000001" customHeight="1">
      <c r="A19" s="24" t="s">
        <v>129</v>
      </c>
      <c r="B19" s="5">
        <v>27</v>
      </c>
      <c r="C19" s="36">
        <f t="shared" si="6"/>
        <v>4.2319749216300941</v>
      </c>
      <c r="D19" s="5">
        <v>13</v>
      </c>
      <c r="E19" s="36">
        <f t="shared" si="7"/>
        <v>2.3897058823529411</v>
      </c>
      <c r="F19" s="5">
        <v>13</v>
      </c>
      <c r="G19" s="36">
        <f t="shared" si="8"/>
        <v>3.3591731266149871</v>
      </c>
      <c r="H19" s="40">
        <v>11</v>
      </c>
      <c r="I19" s="41">
        <f t="shared" ref="I19:I23" si="9">IFERROR(H19/H$15*100,"-")</f>
        <v>3.151862464183381</v>
      </c>
      <c r="J19" s="40">
        <v>5</v>
      </c>
      <c r="K19" s="41">
        <f t="shared" ref="K19:K23" si="10">IFERROR(J19/J$15*100,"-")</f>
        <v>1.8796992481203008</v>
      </c>
    </row>
    <row r="20" spans="1:11" ht="20.100000000000001" customHeight="1">
      <c r="A20" s="24" t="s">
        <v>130</v>
      </c>
      <c r="B20" s="5">
        <v>84</v>
      </c>
      <c r="C20" s="36">
        <f t="shared" si="6"/>
        <v>13.166144200626958</v>
      </c>
      <c r="D20" s="5">
        <v>47</v>
      </c>
      <c r="E20" s="36">
        <f t="shared" si="7"/>
        <v>8.6397058823529402</v>
      </c>
      <c r="F20" s="5">
        <v>45</v>
      </c>
      <c r="G20" s="36">
        <f t="shared" si="8"/>
        <v>11.627906976744185</v>
      </c>
      <c r="H20" s="40">
        <v>33</v>
      </c>
      <c r="I20" s="41">
        <f t="shared" si="9"/>
        <v>9.455587392550143</v>
      </c>
      <c r="J20" s="40">
        <v>27</v>
      </c>
      <c r="K20" s="41">
        <f t="shared" si="10"/>
        <v>10.150375939849624</v>
      </c>
    </row>
    <row r="21" spans="1:11" ht="20.100000000000001" customHeight="1">
      <c r="A21" s="24" t="s">
        <v>131</v>
      </c>
      <c r="B21" s="5">
        <v>94</v>
      </c>
      <c r="C21" s="36">
        <f t="shared" si="6"/>
        <v>14.733542319749215</v>
      </c>
      <c r="D21" s="5">
        <v>111</v>
      </c>
      <c r="E21" s="36">
        <f t="shared" si="7"/>
        <v>20.40441176470588</v>
      </c>
      <c r="F21" s="5">
        <v>61</v>
      </c>
      <c r="G21" s="36">
        <f t="shared" si="8"/>
        <v>15.762273901808785</v>
      </c>
      <c r="H21" s="40">
        <v>63</v>
      </c>
      <c r="I21" s="41">
        <f t="shared" si="9"/>
        <v>18.05157593123209</v>
      </c>
      <c r="J21" s="40">
        <v>57</v>
      </c>
      <c r="K21" s="41">
        <f t="shared" si="10"/>
        <v>21.428571428571427</v>
      </c>
    </row>
    <row r="22" spans="1:11" ht="20.100000000000001" customHeight="1">
      <c r="A22" s="24" t="s">
        <v>132</v>
      </c>
      <c r="B22" s="5">
        <v>175</v>
      </c>
      <c r="C22" s="36">
        <f t="shared" si="6"/>
        <v>27.429467084639498</v>
      </c>
      <c r="D22" s="5">
        <v>145</v>
      </c>
      <c r="E22" s="36">
        <f t="shared" si="7"/>
        <v>26.65441176470588</v>
      </c>
      <c r="F22" s="5">
        <v>114</v>
      </c>
      <c r="G22" s="36">
        <f t="shared" si="8"/>
        <v>29.457364341085274</v>
      </c>
      <c r="H22" s="40">
        <v>110</v>
      </c>
      <c r="I22" s="41">
        <f t="shared" si="9"/>
        <v>31.51862464183381</v>
      </c>
      <c r="J22" s="40">
        <v>74</v>
      </c>
      <c r="K22" s="41">
        <f t="shared" si="10"/>
        <v>27.819548872180448</v>
      </c>
    </row>
    <row r="23" spans="1:11" ht="20.100000000000001" customHeight="1">
      <c r="A23" s="35" t="s">
        <v>133</v>
      </c>
      <c r="B23" s="7">
        <v>251</v>
      </c>
      <c r="C23" s="49">
        <f t="shared" si="6"/>
        <v>39.341692789968654</v>
      </c>
      <c r="D23" s="7">
        <v>226</v>
      </c>
      <c r="E23" s="49">
        <f t="shared" si="7"/>
        <v>41.544117647058826</v>
      </c>
      <c r="F23" s="7">
        <v>153</v>
      </c>
      <c r="G23" s="49">
        <f t="shared" si="8"/>
        <v>39.534883720930232</v>
      </c>
      <c r="H23" s="48">
        <v>131</v>
      </c>
      <c r="I23" s="47">
        <f t="shared" si="9"/>
        <v>37.535816618911177</v>
      </c>
      <c r="J23" s="48">
        <v>100</v>
      </c>
      <c r="K23" s="47">
        <f t="shared" si="10"/>
        <v>37.593984962406012</v>
      </c>
    </row>
    <row r="24" spans="1:11">
      <c r="A24" s="507" t="s">
        <v>134</v>
      </c>
      <c r="B24" s="472"/>
      <c r="C24" s="472"/>
      <c r="D24" s="472"/>
      <c r="E24" s="472"/>
      <c r="F24" s="56"/>
      <c r="G24" s="56"/>
      <c r="H24" s="56"/>
      <c r="I24" s="56"/>
      <c r="J24" s="56"/>
      <c r="K24" s="56"/>
    </row>
    <row r="25" spans="1:11" ht="47.25" customHeight="1">
      <c r="A25" s="470" t="s">
        <v>738</v>
      </c>
      <c r="B25" s="470"/>
      <c r="C25" s="470"/>
      <c r="D25" s="470"/>
      <c r="E25" s="470"/>
      <c r="F25" s="470"/>
      <c r="G25" s="470"/>
      <c r="H25" s="470"/>
      <c r="I25" s="470"/>
      <c r="J25" s="470"/>
      <c r="K25" s="470"/>
    </row>
    <row r="26" spans="1:11" ht="27.95" customHeight="1">
      <c r="A26" s="308"/>
      <c r="B26" s="308"/>
      <c r="C26" s="308"/>
      <c r="D26" s="308"/>
      <c r="E26" s="308"/>
      <c r="F26" s="308"/>
      <c r="G26" s="308"/>
      <c r="H26" s="308"/>
      <c r="I26" s="308"/>
      <c r="J26" s="308"/>
      <c r="K26" s="308"/>
    </row>
  </sheetData>
  <mergeCells count="13">
    <mergeCell ref="J13:K13"/>
    <mergeCell ref="A25:K25"/>
    <mergeCell ref="A1:K1"/>
    <mergeCell ref="D2:E2"/>
    <mergeCell ref="F2:G2"/>
    <mergeCell ref="B2:C2"/>
    <mergeCell ref="J2:K2"/>
    <mergeCell ref="A24:E24"/>
    <mergeCell ref="H13:I13"/>
    <mergeCell ref="H2:I2"/>
    <mergeCell ref="B13:C13"/>
    <mergeCell ref="D13:E13"/>
    <mergeCell ref="F13:G13"/>
  </mergeCells>
  <phoneticPr fontId="3" type="noConversion"/>
  <hyperlinks>
    <hyperlink ref="L1" location="本篇表次!A1" display="回本篇表次"/>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L25"/>
  <sheetViews>
    <sheetView showGridLines="0" zoomScale="120" zoomScaleNormal="120" workbookViewId="0">
      <selection sqref="A1:AF1"/>
    </sheetView>
  </sheetViews>
  <sheetFormatPr defaultColWidth="8.625" defaultRowHeight="16.5"/>
  <cols>
    <col min="1" max="1" width="26.875" customWidth="1"/>
    <col min="11" max="11" width="8.625" customWidth="1"/>
    <col min="12" max="12" width="12.625" bestFit="1" customWidth="1"/>
  </cols>
  <sheetData>
    <row r="1" spans="1:12" ht="24.95" customHeight="1">
      <c r="A1" s="389" t="s">
        <v>560</v>
      </c>
      <c r="B1" s="389"/>
      <c r="C1" s="389"/>
      <c r="D1" s="389"/>
      <c r="E1" s="389"/>
      <c r="F1" s="389"/>
      <c r="G1" s="389"/>
      <c r="H1" s="389"/>
      <c r="I1" s="389"/>
      <c r="J1" s="389"/>
      <c r="K1" s="389"/>
      <c r="L1" s="242" t="s">
        <v>548</v>
      </c>
    </row>
    <row r="2" spans="1:12" ht="20.100000000000001" customHeight="1">
      <c r="A2" s="16"/>
      <c r="B2" s="479" t="s">
        <v>55</v>
      </c>
      <c r="C2" s="480"/>
      <c r="D2" s="479" t="s">
        <v>56</v>
      </c>
      <c r="E2" s="395"/>
      <c r="F2" s="479" t="s">
        <v>57</v>
      </c>
      <c r="G2" s="395"/>
      <c r="H2" s="479" t="s">
        <v>58</v>
      </c>
      <c r="I2" s="395"/>
      <c r="J2" s="479" t="s">
        <v>69</v>
      </c>
      <c r="K2" s="395"/>
    </row>
    <row r="3" spans="1:12" ht="20.100000000000001" customHeight="1">
      <c r="A3" s="62"/>
      <c r="B3" s="8" t="s">
        <v>59</v>
      </c>
      <c r="C3" s="8" t="s">
        <v>60</v>
      </c>
      <c r="D3" s="8" t="s">
        <v>59</v>
      </c>
      <c r="E3" s="8" t="s">
        <v>60</v>
      </c>
      <c r="F3" s="8" t="s">
        <v>59</v>
      </c>
      <c r="G3" s="8" t="s">
        <v>60</v>
      </c>
      <c r="H3" s="8" t="s">
        <v>59</v>
      </c>
      <c r="I3" s="8" t="s">
        <v>60</v>
      </c>
      <c r="J3" s="8" t="s">
        <v>59</v>
      </c>
      <c r="K3" s="8" t="s">
        <v>60</v>
      </c>
    </row>
    <row r="4" spans="1:12" ht="18" customHeight="1">
      <c r="A4" s="24" t="s">
        <v>61</v>
      </c>
      <c r="B4" s="63">
        <v>2105</v>
      </c>
      <c r="C4" s="64">
        <f>SUM(C5:C12)</f>
        <v>100</v>
      </c>
      <c r="D4" s="63">
        <v>2076</v>
      </c>
      <c r="E4" s="64">
        <f>SUM(E5:E12)</f>
        <v>100</v>
      </c>
      <c r="F4" s="63">
        <v>1386</v>
      </c>
      <c r="G4" s="64">
        <f>SUM(G5:G12)</f>
        <v>100</v>
      </c>
      <c r="H4" s="63">
        <v>835</v>
      </c>
      <c r="I4" s="64">
        <f>SUM(I5:I12)</f>
        <v>100</v>
      </c>
      <c r="J4" s="63">
        <v>675</v>
      </c>
      <c r="K4" s="64">
        <f>SUM(K5:K12)</f>
        <v>100.00000000000001</v>
      </c>
    </row>
    <row r="5" spans="1:12" ht="18" customHeight="1">
      <c r="A5" s="24" t="s">
        <v>136</v>
      </c>
      <c r="B5" s="65">
        <v>1131</v>
      </c>
      <c r="C5" s="19">
        <f t="shared" ref="C5:C12" si="0">IFERROR(B5/B$4*100,"-")</f>
        <v>53.729216152018999</v>
      </c>
      <c r="D5" s="65">
        <v>1211</v>
      </c>
      <c r="E5" s="19">
        <f t="shared" ref="E5:E12" si="1">IFERROR(D5/D$4*100,"-")</f>
        <v>58.333333333333336</v>
      </c>
      <c r="F5" s="65">
        <v>805</v>
      </c>
      <c r="G5" s="19">
        <f t="shared" ref="G5:G12" si="2">IFERROR(F5/F$4*100,"-")</f>
        <v>58.080808080808076</v>
      </c>
      <c r="H5" s="65">
        <v>488</v>
      </c>
      <c r="I5" s="19">
        <f>IFERROR(H5/H$4*100,"-")</f>
        <v>58.443113772455092</v>
      </c>
      <c r="J5" s="65">
        <v>340</v>
      </c>
      <c r="K5" s="19">
        <f>IFERROR(J5/J$4*100,"-")</f>
        <v>50.370370370370367</v>
      </c>
    </row>
    <row r="6" spans="1:12" ht="18" customHeight="1">
      <c r="A6" s="24" t="s">
        <v>137</v>
      </c>
      <c r="B6" s="65">
        <v>638</v>
      </c>
      <c r="C6" s="19">
        <f t="shared" si="0"/>
        <v>30.308788598574822</v>
      </c>
      <c r="D6" s="65">
        <v>582</v>
      </c>
      <c r="E6" s="19">
        <f t="shared" si="1"/>
        <v>28.034682080924856</v>
      </c>
      <c r="F6" s="65">
        <v>417</v>
      </c>
      <c r="G6" s="19">
        <f t="shared" si="2"/>
        <v>30.086580086580089</v>
      </c>
      <c r="H6" s="65">
        <v>255</v>
      </c>
      <c r="I6" s="19">
        <f t="shared" ref="I6:I12" si="3">IFERROR(H6/H$4*100,"-")</f>
        <v>30.538922155688624</v>
      </c>
      <c r="J6" s="65">
        <v>234</v>
      </c>
      <c r="K6" s="19">
        <f t="shared" ref="K6:K11" si="4">IFERROR(J6/J$4*100,"-")</f>
        <v>34.666666666666671</v>
      </c>
    </row>
    <row r="7" spans="1:12" ht="18" customHeight="1">
      <c r="A7" s="24" t="s">
        <v>138</v>
      </c>
      <c r="B7" s="65">
        <v>306</v>
      </c>
      <c r="C7" s="19">
        <f t="shared" si="0"/>
        <v>14.536817102137768</v>
      </c>
      <c r="D7" s="65">
        <v>263</v>
      </c>
      <c r="E7" s="19">
        <f t="shared" si="1"/>
        <v>12.668593448940268</v>
      </c>
      <c r="F7" s="65">
        <v>138</v>
      </c>
      <c r="G7" s="19">
        <f t="shared" si="2"/>
        <v>9.9567099567099575</v>
      </c>
      <c r="H7" s="65">
        <v>78</v>
      </c>
      <c r="I7" s="19">
        <f t="shared" si="3"/>
        <v>9.341317365269461</v>
      </c>
      <c r="J7" s="65">
        <v>87</v>
      </c>
      <c r="K7" s="19">
        <f t="shared" si="4"/>
        <v>12.888888888888889</v>
      </c>
    </row>
    <row r="8" spans="1:12" ht="18" customHeight="1">
      <c r="A8" s="24" t="s">
        <v>139</v>
      </c>
      <c r="B8" s="65">
        <v>3</v>
      </c>
      <c r="C8" s="19">
        <f t="shared" si="0"/>
        <v>0.14251781472684086</v>
      </c>
      <c r="D8" s="65">
        <v>4</v>
      </c>
      <c r="E8" s="19">
        <f t="shared" si="1"/>
        <v>0.19267822736030829</v>
      </c>
      <c r="F8" s="65">
        <v>2</v>
      </c>
      <c r="G8" s="19">
        <f t="shared" si="2"/>
        <v>0.14430014430014429</v>
      </c>
      <c r="H8" s="65">
        <v>2</v>
      </c>
      <c r="I8" s="19">
        <f t="shared" si="3"/>
        <v>0.23952095808383234</v>
      </c>
      <c r="J8" s="65">
        <v>4</v>
      </c>
      <c r="K8" s="19">
        <f t="shared" si="4"/>
        <v>0.59259259259259256</v>
      </c>
    </row>
    <row r="9" spans="1:12" ht="18" customHeight="1">
      <c r="A9" s="24" t="s">
        <v>141</v>
      </c>
      <c r="B9" s="65">
        <v>13</v>
      </c>
      <c r="C9" s="19">
        <f>IFERROR(B9/B$4*100,"-")</f>
        <v>0.61757719714964376</v>
      </c>
      <c r="D9" s="65">
        <v>10</v>
      </c>
      <c r="E9" s="19">
        <f>IFERROR(D9/D$4*100,"-")</f>
        <v>0.48169556840077066</v>
      </c>
      <c r="F9" s="65">
        <v>19</v>
      </c>
      <c r="G9" s="19">
        <f>IFERROR(F9/F$4*100,"-")</f>
        <v>1.3708513708513708</v>
      </c>
      <c r="H9" s="65">
        <v>3</v>
      </c>
      <c r="I9" s="19">
        <f>IFERROR(H9/H$4*100,"-")</f>
        <v>0.3592814371257485</v>
      </c>
      <c r="J9" s="65">
        <v>5</v>
      </c>
      <c r="K9" s="19">
        <f t="shared" si="4"/>
        <v>0.74074074074074081</v>
      </c>
    </row>
    <row r="10" spans="1:12" ht="18" customHeight="1">
      <c r="A10" s="24" t="s">
        <v>140</v>
      </c>
      <c r="B10" s="65">
        <v>6</v>
      </c>
      <c r="C10" s="19">
        <f t="shared" si="0"/>
        <v>0.28503562945368172</v>
      </c>
      <c r="D10" s="65">
        <v>2</v>
      </c>
      <c r="E10" s="19">
        <f t="shared" si="1"/>
        <v>9.6339113680154145E-2</v>
      </c>
      <c r="F10" s="65" t="s">
        <v>9</v>
      </c>
      <c r="G10" s="66" t="str">
        <f t="shared" si="2"/>
        <v>-</v>
      </c>
      <c r="H10" s="65">
        <v>3</v>
      </c>
      <c r="I10" s="19">
        <f t="shared" si="3"/>
        <v>0.3592814371257485</v>
      </c>
      <c r="J10" s="65">
        <v>1</v>
      </c>
      <c r="K10" s="19">
        <f t="shared" si="4"/>
        <v>0.14814814814814814</v>
      </c>
    </row>
    <row r="11" spans="1:12" ht="18" customHeight="1">
      <c r="A11" s="24" t="s">
        <v>142</v>
      </c>
      <c r="B11" s="65">
        <v>8</v>
      </c>
      <c r="C11" s="19">
        <f t="shared" si="0"/>
        <v>0.38004750593824227</v>
      </c>
      <c r="D11" s="65">
        <v>4</v>
      </c>
      <c r="E11" s="19">
        <f t="shared" si="1"/>
        <v>0.19267822736030829</v>
      </c>
      <c r="F11" s="65">
        <v>5</v>
      </c>
      <c r="G11" s="19">
        <f t="shared" si="2"/>
        <v>0.36075036075036077</v>
      </c>
      <c r="H11" s="65">
        <v>6</v>
      </c>
      <c r="I11" s="19">
        <f t="shared" si="3"/>
        <v>0.71856287425149701</v>
      </c>
      <c r="J11" s="65">
        <v>4</v>
      </c>
      <c r="K11" s="19">
        <f t="shared" si="4"/>
        <v>0.59259259259259256</v>
      </c>
    </row>
    <row r="12" spans="1:12" ht="18" customHeight="1" thickBot="1">
      <c r="A12" s="37" t="s">
        <v>143</v>
      </c>
      <c r="B12" s="67" t="s">
        <v>9</v>
      </c>
      <c r="C12" s="68" t="str">
        <f t="shared" si="0"/>
        <v>-</v>
      </c>
      <c r="D12" s="67" t="s">
        <v>9</v>
      </c>
      <c r="E12" s="68" t="str">
        <f t="shared" si="1"/>
        <v>-</v>
      </c>
      <c r="F12" s="67" t="s">
        <v>9</v>
      </c>
      <c r="G12" s="68" t="str">
        <f t="shared" si="2"/>
        <v>-</v>
      </c>
      <c r="H12" s="67" t="s">
        <v>9</v>
      </c>
      <c r="I12" s="68" t="str">
        <f t="shared" si="3"/>
        <v>-</v>
      </c>
      <c r="J12" s="67" t="s">
        <v>9</v>
      </c>
      <c r="K12" s="68" t="s">
        <v>9</v>
      </c>
    </row>
    <row r="13" spans="1:12" ht="20.100000000000001" customHeight="1">
      <c r="A13" s="62"/>
      <c r="B13" s="463" t="s">
        <v>70</v>
      </c>
      <c r="C13" s="474"/>
      <c r="D13" s="463" t="s">
        <v>71</v>
      </c>
      <c r="E13" s="474"/>
      <c r="F13" s="463" t="s">
        <v>72</v>
      </c>
      <c r="G13" s="474"/>
      <c r="H13" s="463" t="s">
        <v>73</v>
      </c>
      <c r="I13" s="474"/>
      <c r="J13" s="463" t="s">
        <v>629</v>
      </c>
      <c r="K13" s="474"/>
    </row>
    <row r="14" spans="1:12" ht="20.100000000000001" customHeight="1">
      <c r="A14" s="62"/>
      <c r="B14" s="8" t="s">
        <v>59</v>
      </c>
      <c r="C14" s="8" t="s">
        <v>60</v>
      </c>
      <c r="D14" s="8" t="s">
        <v>59</v>
      </c>
      <c r="E14" s="8" t="s">
        <v>60</v>
      </c>
      <c r="F14" s="8" t="s">
        <v>59</v>
      </c>
      <c r="G14" s="8" t="s">
        <v>60</v>
      </c>
      <c r="H14" s="8" t="s">
        <v>59</v>
      </c>
      <c r="I14" s="8" t="s">
        <v>60</v>
      </c>
      <c r="J14" s="8" t="s">
        <v>59</v>
      </c>
      <c r="K14" s="8" t="s">
        <v>60</v>
      </c>
    </row>
    <row r="15" spans="1:12" ht="18" customHeight="1">
      <c r="A15" s="24" t="s">
        <v>61</v>
      </c>
      <c r="B15" s="63">
        <v>638</v>
      </c>
      <c r="C15" s="64">
        <f t="shared" ref="C15:I15" si="5">SUM(C16:C23)</f>
        <v>100.00000000000001</v>
      </c>
      <c r="D15" s="63">
        <f t="shared" si="5"/>
        <v>544</v>
      </c>
      <c r="E15" s="64">
        <f t="shared" si="5"/>
        <v>100.00000000000003</v>
      </c>
      <c r="F15" s="63">
        <f t="shared" si="5"/>
        <v>387</v>
      </c>
      <c r="G15" s="64">
        <f t="shared" si="5"/>
        <v>99.999999999999986</v>
      </c>
      <c r="H15" s="65">
        <f>SUM(H16:H23)</f>
        <v>349</v>
      </c>
      <c r="I15" s="73">
        <f t="shared" si="5"/>
        <v>99.999999999999986</v>
      </c>
      <c r="J15" s="65">
        <f>SUM(J16:J23)</f>
        <v>266</v>
      </c>
      <c r="K15" s="73">
        <f>SUM(K16:K23)</f>
        <v>100</v>
      </c>
    </row>
    <row r="16" spans="1:12" ht="18" customHeight="1">
      <c r="A16" s="24" t="s">
        <v>136</v>
      </c>
      <c r="B16" s="65">
        <v>351</v>
      </c>
      <c r="C16" s="19">
        <f t="shared" ref="C16:C22" si="6">IFERROR(B16/B$15*100,"-")</f>
        <v>55.015673981191227</v>
      </c>
      <c r="D16" s="65">
        <v>332</v>
      </c>
      <c r="E16" s="19">
        <f t="shared" ref="E16:E22" si="7">IFERROR(D16/D$15*100,"-")</f>
        <v>61.029411764705884</v>
      </c>
      <c r="F16" s="65">
        <v>237</v>
      </c>
      <c r="G16" s="19">
        <f t="shared" ref="G16:G22" si="8">IFERROR(F16/F$15*100,"-")</f>
        <v>61.240310077519375</v>
      </c>
      <c r="H16" s="40">
        <v>220</v>
      </c>
      <c r="I16" s="41">
        <f>IFERROR(H16/H$15*100,"-")</f>
        <v>63.03724928366762</v>
      </c>
      <c r="J16" s="40">
        <f>46+8+96+7</f>
        <v>157</v>
      </c>
      <c r="K16" s="41">
        <f>IFERROR(J16/J$15*100,"-")</f>
        <v>59.022556390977442</v>
      </c>
    </row>
    <row r="17" spans="1:11" ht="18" customHeight="1">
      <c r="A17" s="24" t="s">
        <v>137</v>
      </c>
      <c r="B17" s="65">
        <v>204</v>
      </c>
      <c r="C17" s="19">
        <f t="shared" si="6"/>
        <v>31.974921630094045</v>
      </c>
      <c r="D17" s="65">
        <v>155</v>
      </c>
      <c r="E17" s="19">
        <f t="shared" si="7"/>
        <v>28.492647058823529</v>
      </c>
      <c r="F17" s="65">
        <v>108</v>
      </c>
      <c r="G17" s="19">
        <f t="shared" si="8"/>
        <v>27.906976744186046</v>
      </c>
      <c r="H17" s="40">
        <v>94</v>
      </c>
      <c r="I17" s="41">
        <f t="shared" ref="I17:I22" si="9">IFERROR(H17/H$15*100,"-")</f>
        <v>26.93409742120344</v>
      </c>
      <c r="J17" s="40">
        <f>46+5+26+2</f>
        <v>79</v>
      </c>
      <c r="K17" s="41">
        <f t="shared" ref="K17:K20" si="10">IFERROR(J17/J$15*100,"-")</f>
        <v>29.699248120300751</v>
      </c>
    </row>
    <row r="18" spans="1:11" ht="18" customHeight="1">
      <c r="A18" s="24" t="s">
        <v>138</v>
      </c>
      <c r="B18" s="65">
        <v>76</v>
      </c>
      <c r="C18" s="19">
        <f t="shared" si="6"/>
        <v>11.912225705329153</v>
      </c>
      <c r="D18" s="65">
        <v>48</v>
      </c>
      <c r="E18" s="19">
        <f t="shared" si="7"/>
        <v>8.8235294117647065</v>
      </c>
      <c r="F18" s="65">
        <v>38</v>
      </c>
      <c r="G18" s="19">
        <f t="shared" si="8"/>
        <v>9.819121447028424</v>
      </c>
      <c r="H18" s="40">
        <v>31</v>
      </c>
      <c r="I18" s="41">
        <f t="shared" si="9"/>
        <v>8.8825214899713476</v>
      </c>
      <c r="J18" s="40">
        <v>27</v>
      </c>
      <c r="K18" s="41">
        <f t="shared" si="10"/>
        <v>10.150375939849624</v>
      </c>
    </row>
    <row r="19" spans="1:11" ht="18" customHeight="1">
      <c r="A19" s="24" t="s">
        <v>139</v>
      </c>
      <c r="B19" s="65">
        <v>1</v>
      </c>
      <c r="C19" s="19">
        <f t="shared" si="6"/>
        <v>0.15673981191222569</v>
      </c>
      <c r="D19" s="65">
        <v>2</v>
      </c>
      <c r="E19" s="19">
        <f t="shared" si="7"/>
        <v>0.36764705882352938</v>
      </c>
      <c r="F19" s="65">
        <v>3</v>
      </c>
      <c r="G19" s="19">
        <f t="shared" si="8"/>
        <v>0.77519379844961245</v>
      </c>
      <c r="H19" s="40">
        <v>2</v>
      </c>
      <c r="I19" s="41">
        <f t="shared" si="9"/>
        <v>0.57306590257879653</v>
      </c>
      <c r="J19" s="53">
        <v>0</v>
      </c>
      <c r="K19" s="53">
        <v>0</v>
      </c>
    </row>
    <row r="20" spans="1:11" ht="18" customHeight="1">
      <c r="A20" s="24" t="s">
        <v>141</v>
      </c>
      <c r="B20" s="65">
        <v>2</v>
      </c>
      <c r="C20" s="19">
        <f t="shared" si="6"/>
        <v>0.31347962382445138</v>
      </c>
      <c r="D20" s="65">
        <v>2</v>
      </c>
      <c r="E20" s="19">
        <f t="shared" si="7"/>
        <v>0.36764705882352938</v>
      </c>
      <c r="F20" s="65" t="s">
        <v>49</v>
      </c>
      <c r="G20" s="66" t="str">
        <f t="shared" si="8"/>
        <v>-</v>
      </c>
      <c r="H20" s="40">
        <v>2</v>
      </c>
      <c r="I20" s="41">
        <f t="shared" si="9"/>
        <v>0.57306590257879653</v>
      </c>
      <c r="J20" s="40">
        <v>3</v>
      </c>
      <c r="K20" s="41">
        <f t="shared" si="10"/>
        <v>1.1278195488721803</v>
      </c>
    </row>
    <row r="21" spans="1:11" ht="18" customHeight="1">
      <c r="A21" s="24" t="s">
        <v>140</v>
      </c>
      <c r="B21" s="65">
        <v>1</v>
      </c>
      <c r="C21" s="19">
        <f t="shared" si="6"/>
        <v>0.15673981191222569</v>
      </c>
      <c r="D21" s="65">
        <v>4</v>
      </c>
      <c r="E21" s="19">
        <f t="shared" si="7"/>
        <v>0.73529411764705876</v>
      </c>
      <c r="F21" s="65">
        <v>1</v>
      </c>
      <c r="G21" s="19">
        <f t="shared" si="8"/>
        <v>0.2583979328165375</v>
      </c>
      <c r="H21" s="53">
        <v>0</v>
      </c>
      <c r="I21" s="53">
        <f t="shared" si="9"/>
        <v>0</v>
      </c>
      <c r="J21" s="53">
        <v>0</v>
      </c>
      <c r="K21" s="53">
        <v>0</v>
      </c>
    </row>
    <row r="22" spans="1:11" ht="18" customHeight="1">
      <c r="A22" s="24" t="s">
        <v>142</v>
      </c>
      <c r="B22" s="65">
        <v>2</v>
      </c>
      <c r="C22" s="19">
        <f t="shared" si="6"/>
        <v>0.31347962382445138</v>
      </c>
      <c r="D22" s="65">
        <v>1</v>
      </c>
      <c r="E22" s="19">
        <f t="shared" si="7"/>
        <v>0.18382352941176469</v>
      </c>
      <c r="F22" s="65" t="s">
        <v>9</v>
      </c>
      <c r="G22" s="66" t="str">
        <f t="shared" si="8"/>
        <v>-</v>
      </c>
      <c r="H22" s="42" t="s">
        <v>220</v>
      </c>
      <c r="I22" s="43" t="str">
        <f t="shared" si="9"/>
        <v>-</v>
      </c>
      <c r="J22" s="53">
        <v>0</v>
      </c>
      <c r="K22" s="53">
        <v>0</v>
      </c>
    </row>
    <row r="23" spans="1:11" ht="18" customHeight="1">
      <c r="A23" s="35" t="s">
        <v>143</v>
      </c>
      <c r="B23" s="69">
        <v>1</v>
      </c>
      <c r="C23" s="23">
        <f t="shared" ref="C23" si="11">IFERROR(B23/B$15*100,"-")</f>
        <v>0.15673981191222569</v>
      </c>
      <c r="D23" s="69" t="s">
        <v>9</v>
      </c>
      <c r="E23" s="70" t="str">
        <f t="shared" ref="E23" si="12">IFERROR(D23/D$15*100,"-")</f>
        <v>-</v>
      </c>
      <c r="F23" s="69" t="s">
        <v>9</v>
      </c>
      <c r="G23" s="70" t="str">
        <f t="shared" ref="G23" si="13">IFERROR(F23/F$15*100,"-")</f>
        <v>-</v>
      </c>
      <c r="H23" s="54">
        <v>0</v>
      </c>
      <c r="I23" s="54">
        <f t="shared" ref="I23" si="14">IFERROR(H23/H$15*100,"-")</f>
        <v>0</v>
      </c>
      <c r="J23" s="54">
        <v>0</v>
      </c>
      <c r="K23" s="54">
        <v>0</v>
      </c>
    </row>
    <row r="24" spans="1:11">
      <c r="A24" s="397" t="s">
        <v>144</v>
      </c>
      <c r="B24" s="397"/>
      <c r="C24" s="397"/>
      <c r="D24" s="71"/>
      <c r="E24" s="71"/>
      <c r="F24" s="71"/>
      <c r="G24" s="71"/>
      <c r="H24" s="72"/>
      <c r="I24" s="31"/>
      <c r="J24" s="63"/>
      <c r="K24" s="38"/>
    </row>
    <row r="25" spans="1:11" ht="42" customHeight="1">
      <c r="A25" s="470" t="s">
        <v>145</v>
      </c>
      <c r="B25" s="470"/>
      <c r="C25" s="470"/>
      <c r="D25" s="470"/>
      <c r="E25" s="470"/>
      <c r="F25" s="470"/>
      <c r="G25" s="470"/>
      <c r="H25" s="470"/>
      <c r="I25" s="470"/>
      <c r="J25" s="470"/>
      <c r="K25" s="470"/>
    </row>
  </sheetData>
  <sortState ref="A16:I22">
    <sortCondition descending="1" ref="H16:H22"/>
  </sortState>
  <mergeCells count="13">
    <mergeCell ref="A25:K25"/>
    <mergeCell ref="B13:C13"/>
    <mergeCell ref="D13:E13"/>
    <mergeCell ref="F13:G13"/>
    <mergeCell ref="H13:I13"/>
    <mergeCell ref="A24:C24"/>
    <mergeCell ref="J13:K13"/>
    <mergeCell ref="A1:K1"/>
    <mergeCell ref="B2:C2"/>
    <mergeCell ref="D2:E2"/>
    <mergeCell ref="F2:G2"/>
    <mergeCell ref="H2:I2"/>
    <mergeCell ref="J2:K2"/>
  </mergeCells>
  <phoneticPr fontId="2" type="noConversion"/>
  <hyperlinks>
    <hyperlink ref="L1" location="本篇表次!A1" display="回本篇表次"/>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V20"/>
  <sheetViews>
    <sheetView showGridLines="0" zoomScale="120" zoomScaleNormal="120" workbookViewId="0">
      <pane xSplit="1" topLeftCell="B1" activePane="topRight" state="frozen"/>
      <selection sqref="A1:AF1"/>
      <selection pane="topRight" sqref="A1:AF1"/>
    </sheetView>
  </sheetViews>
  <sheetFormatPr defaultColWidth="7.625" defaultRowHeight="16.5"/>
  <cols>
    <col min="1" max="1" width="15.625" customWidth="1"/>
    <col min="17" max="17" width="9.625" bestFit="1" customWidth="1"/>
    <col min="21" max="21" width="9.625" bestFit="1" customWidth="1"/>
    <col min="22" max="22" width="12.625" bestFit="1" customWidth="1"/>
  </cols>
  <sheetData>
    <row r="1" spans="1:22" ht="29.1" customHeight="1">
      <c r="A1" s="398" t="s">
        <v>561</v>
      </c>
      <c r="B1" s="398"/>
      <c r="C1" s="398"/>
      <c r="D1" s="398"/>
      <c r="E1" s="398"/>
      <c r="F1" s="398"/>
      <c r="G1" s="398"/>
      <c r="H1" s="398"/>
      <c r="I1" s="398"/>
      <c r="J1" s="398"/>
      <c r="K1" s="398"/>
      <c r="L1" s="398"/>
      <c r="M1" s="398"/>
      <c r="N1" s="398"/>
      <c r="O1" s="398"/>
      <c r="P1" s="398"/>
      <c r="Q1" s="398"/>
      <c r="R1" s="398"/>
      <c r="S1" s="398"/>
      <c r="T1" s="398"/>
      <c r="U1" s="398"/>
      <c r="V1" s="242" t="s">
        <v>548</v>
      </c>
    </row>
    <row r="2" spans="1:22" ht="20.100000000000001" customHeight="1">
      <c r="A2" s="482"/>
      <c r="B2" s="479" t="s">
        <v>55</v>
      </c>
      <c r="C2" s="479"/>
      <c r="D2" s="479"/>
      <c r="E2" s="479"/>
      <c r="F2" s="479" t="s">
        <v>56</v>
      </c>
      <c r="G2" s="479"/>
      <c r="H2" s="479"/>
      <c r="I2" s="479"/>
      <c r="J2" s="479" t="s">
        <v>57</v>
      </c>
      <c r="K2" s="479"/>
      <c r="L2" s="479"/>
      <c r="M2" s="479"/>
      <c r="N2" s="479" t="s">
        <v>58</v>
      </c>
      <c r="O2" s="479"/>
      <c r="P2" s="479"/>
      <c r="Q2" s="479"/>
      <c r="R2" s="479" t="s">
        <v>69</v>
      </c>
      <c r="S2" s="479"/>
      <c r="T2" s="479"/>
      <c r="U2" s="479"/>
    </row>
    <row r="3" spans="1:22" ht="20.100000000000001" customHeight="1">
      <c r="A3" s="483"/>
      <c r="B3" s="395" t="s">
        <v>146</v>
      </c>
      <c r="C3" s="395"/>
      <c r="D3" s="395"/>
      <c r="E3" s="482" t="s">
        <v>147</v>
      </c>
      <c r="F3" s="395" t="s">
        <v>146</v>
      </c>
      <c r="G3" s="395"/>
      <c r="H3" s="395"/>
      <c r="I3" s="482" t="s">
        <v>147</v>
      </c>
      <c r="J3" s="395" t="s">
        <v>146</v>
      </c>
      <c r="K3" s="395"/>
      <c r="L3" s="395"/>
      <c r="M3" s="482" t="s">
        <v>147</v>
      </c>
      <c r="N3" s="395" t="s">
        <v>146</v>
      </c>
      <c r="O3" s="395"/>
      <c r="P3" s="395"/>
      <c r="Q3" s="482" t="s">
        <v>147</v>
      </c>
      <c r="R3" s="395" t="s">
        <v>146</v>
      </c>
      <c r="S3" s="395"/>
      <c r="T3" s="395"/>
      <c r="U3" s="482" t="s">
        <v>147</v>
      </c>
    </row>
    <row r="4" spans="1:22" ht="20.100000000000001" customHeight="1">
      <c r="A4" s="483"/>
      <c r="B4" s="8" t="s">
        <v>61</v>
      </c>
      <c r="C4" s="229" t="s">
        <v>53</v>
      </c>
      <c r="D4" s="229" t="s">
        <v>54</v>
      </c>
      <c r="E4" s="474"/>
      <c r="F4" s="8" t="s">
        <v>61</v>
      </c>
      <c r="G4" s="229" t="s">
        <v>53</v>
      </c>
      <c r="H4" s="229" t="s">
        <v>54</v>
      </c>
      <c r="I4" s="474"/>
      <c r="J4" s="8" t="s">
        <v>61</v>
      </c>
      <c r="K4" s="229" t="s">
        <v>53</v>
      </c>
      <c r="L4" s="229" t="s">
        <v>54</v>
      </c>
      <c r="M4" s="474"/>
      <c r="N4" s="8" t="s">
        <v>61</v>
      </c>
      <c r="O4" s="229" t="s">
        <v>53</v>
      </c>
      <c r="P4" s="229" t="s">
        <v>54</v>
      </c>
      <c r="Q4" s="474"/>
      <c r="R4" s="8" t="s">
        <v>61</v>
      </c>
      <c r="S4" s="229" t="s">
        <v>53</v>
      </c>
      <c r="T4" s="229" t="s">
        <v>54</v>
      </c>
      <c r="U4" s="474"/>
    </row>
    <row r="5" spans="1:22" ht="20.100000000000001" customHeight="1">
      <c r="A5" s="24" t="s">
        <v>61</v>
      </c>
      <c r="B5" s="76">
        <f t="shared" ref="B5" si="0">SUM(C5,D5)</f>
        <v>2105</v>
      </c>
      <c r="C5" s="74">
        <f>SUM(C6:C10)</f>
        <v>1547</v>
      </c>
      <c r="D5" s="74">
        <f>SUM(D6:D10)</f>
        <v>558</v>
      </c>
      <c r="E5" s="75">
        <f>SUM(E6:E10)</f>
        <v>100.00000000000001</v>
      </c>
      <c r="F5" s="76">
        <f t="shared" ref="F5" si="1">SUM(G5,H5)</f>
        <v>2076</v>
      </c>
      <c r="G5" s="74">
        <f>SUM(G6:G10)</f>
        <v>1528</v>
      </c>
      <c r="H5" s="74">
        <f>SUM(H6:H10)</f>
        <v>548</v>
      </c>
      <c r="I5" s="75">
        <f>SUM(I6:I10)</f>
        <v>100</v>
      </c>
      <c r="J5" s="74">
        <f t="shared" ref="J5" si="2">SUM(K5,L5)</f>
        <v>1386</v>
      </c>
      <c r="K5" s="74">
        <f>SUM(K6:K10)</f>
        <v>1000</v>
      </c>
      <c r="L5" s="74">
        <f>SUM(L6:L10)</f>
        <v>386</v>
      </c>
      <c r="M5" s="75">
        <f>SUM(M6:M10)</f>
        <v>99.999999999999986</v>
      </c>
      <c r="N5" s="74">
        <f t="shared" ref="N5" si="3">SUM(O5,P5)</f>
        <v>835</v>
      </c>
      <c r="O5" s="74">
        <f>SUM(O6:O10)</f>
        <v>596</v>
      </c>
      <c r="P5" s="74">
        <f>SUM(P6:P10)</f>
        <v>239</v>
      </c>
      <c r="Q5" s="75">
        <f>SUM(Q6:Q10)</f>
        <v>100.00000000000001</v>
      </c>
      <c r="R5" s="74">
        <f t="shared" ref="R5" si="4">SUM(S5,T5)</f>
        <v>675</v>
      </c>
      <c r="S5" s="74">
        <f>SUM(S6:S10)</f>
        <v>468</v>
      </c>
      <c r="T5" s="74">
        <f>SUM(T6:T10)</f>
        <v>207</v>
      </c>
      <c r="U5" s="75">
        <f>SUM(U6:U10)</f>
        <v>100</v>
      </c>
    </row>
    <row r="6" spans="1:22" ht="20.100000000000001" customHeight="1">
      <c r="A6" s="24" t="s">
        <v>148</v>
      </c>
      <c r="B6" s="74">
        <f>SUM(C6,D6)</f>
        <v>786</v>
      </c>
      <c r="C6" s="74">
        <v>523</v>
      </c>
      <c r="D6" s="74">
        <v>263</v>
      </c>
      <c r="E6" s="75">
        <f>IFERROR(B6/B$5*100,"-")</f>
        <v>37.339667458432302</v>
      </c>
      <c r="F6" s="74">
        <f>SUM(G6,H6)</f>
        <v>741</v>
      </c>
      <c r="G6" s="74">
        <v>503</v>
      </c>
      <c r="H6" s="74">
        <v>238</v>
      </c>
      <c r="I6" s="75">
        <f>IFERROR(F6/F$5*100,"-")</f>
        <v>35.693641618497111</v>
      </c>
      <c r="J6" s="74">
        <f>SUM(K6,L6)</f>
        <v>452</v>
      </c>
      <c r="K6" s="74">
        <v>293</v>
      </c>
      <c r="L6" s="74">
        <v>159</v>
      </c>
      <c r="M6" s="75">
        <f>IFERROR(J6/J$5*100,"-")</f>
        <v>32.611832611832611</v>
      </c>
      <c r="N6" s="74">
        <f>SUM(O6,P6)</f>
        <v>285</v>
      </c>
      <c r="O6" s="74">
        <v>183</v>
      </c>
      <c r="P6" s="74">
        <v>102</v>
      </c>
      <c r="Q6" s="75">
        <f>IFERROR(N6/N$5*100,"-")</f>
        <v>34.131736526946113</v>
      </c>
      <c r="R6" s="74">
        <f>SUM(S6,T6)</f>
        <v>236</v>
      </c>
      <c r="S6" s="74">
        <v>146</v>
      </c>
      <c r="T6" s="74">
        <v>90</v>
      </c>
      <c r="U6" s="75">
        <f>IFERROR(R6/R$5*100,"-")</f>
        <v>34.962962962962962</v>
      </c>
    </row>
    <row r="7" spans="1:22" ht="20.100000000000001" customHeight="1">
      <c r="A7" s="24" t="s">
        <v>150</v>
      </c>
      <c r="B7" s="74">
        <f>SUM(C7,D7)</f>
        <v>499</v>
      </c>
      <c r="C7" s="74">
        <v>431</v>
      </c>
      <c r="D7" s="74">
        <v>68</v>
      </c>
      <c r="E7" s="75">
        <f>IFERROR(B7/B$5*100,"-")</f>
        <v>23.705463182897862</v>
      </c>
      <c r="F7" s="74">
        <f>SUM(G7,H7)</f>
        <v>527</v>
      </c>
      <c r="G7" s="74">
        <v>447</v>
      </c>
      <c r="H7" s="74">
        <v>80</v>
      </c>
      <c r="I7" s="75">
        <f>IFERROR(F7/F$5*100,"-")</f>
        <v>25.385356454720615</v>
      </c>
      <c r="J7" s="74">
        <f>SUM(K7,L7)</f>
        <v>361</v>
      </c>
      <c r="K7" s="74">
        <v>302</v>
      </c>
      <c r="L7" s="74">
        <v>59</v>
      </c>
      <c r="M7" s="75">
        <f>IFERROR(J7/J$5*100,"-")</f>
        <v>26.046176046176043</v>
      </c>
      <c r="N7" s="74">
        <f>SUM(O7,P7)</f>
        <v>192</v>
      </c>
      <c r="O7" s="74">
        <v>159</v>
      </c>
      <c r="P7" s="74">
        <v>33</v>
      </c>
      <c r="Q7" s="75">
        <f>IFERROR(N7/N$5*100,"-")</f>
        <v>22.994011976047904</v>
      </c>
      <c r="R7" s="74">
        <f>SUM(S7,T7)</f>
        <v>174</v>
      </c>
      <c r="S7" s="74">
        <v>143</v>
      </c>
      <c r="T7" s="74">
        <v>31</v>
      </c>
      <c r="U7" s="75">
        <f t="shared" ref="U7:U10" si="5">IFERROR(R7/R$5*100,"-")</f>
        <v>25.777777777777779</v>
      </c>
    </row>
    <row r="8" spans="1:22" ht="20.100000000000001" customHeight="1">
      <c r="A8" s="24" t="s">
        <v>149</v>
      </c>
      <c r="B8" s="74">
        <f>SUM(C8,D8)</f>
        <v>496</v>
      </c>
      <c r="C8" s="74">
        <v>339</v>
      </c>
      <c r="D8" s="74">
        <v>157</v>
      </c>
      <c r="E8" s="75">
        <f>IFERROR(B8/B$5*100,"-")</f>
        <v>23.562945368171022</v>
      </c>
      <c r="F8" s="74">
        <f>SUM(G8,H8)</f>
        <v>494</v>
      </c>
      <c r="G8" s="74">
        <v>332</v>
      </c>
      <c r="H8" s="74">
        <v>162</v>
      </c>
      <c r="I8" s="75">
        <f>IFERROR(F8/F$5*100,"-")</f>
        <v>23.795761078998073</v>
      </c>
      <c r="J8" s="74">
        <f>SUM(K8,L8)</f>
        <v>412</v>
      </c>
      <c r="K8" s="74">
        <v>286</v>
      </c>
      <c r="L8" s="74">
        <v>126</v>
      </c>
      <c r="M8" s="75">
        <f>IFERROR(J8/J$5*100,"-")</f>
        <v>29.725829725829726</v>
      </c>
      <c r="N8" s="74">
        <f>SUM(O8,P8)</f>
        <v>262</v>
      </c>
      <c r="O8" s="74">
        <v>182</v>
      </c>
      <c r="P8" s="74">
        <v>80</v>
      </c>
      <c r="Q8" s="75">
        <f>IFERROR(N8/N$5*100,"-")</f>
        <v>31.377245508982039</v>
      </c>
      <c r="R8" s="74">
        <f>SUM(S8,T8)</f>
        <v>181</v>
      </c>
      <c r="S8" s="74">
        <v>116</v>
      </c>
      <c r="T8" s="74">
        <v>65</v>
      </c>
      <c r="U8" s="75">
        <f t="shared" si="5"/>
        <v>26.814814814814813</v>
      </c>
    </row>
    <row r="9" spans="1:22" ht="20.100000000000001" customHeight="1">
      <c r="A9" s="24" t="s">
        <v>151</v>
      </c>
      <c r="B9" s="74">
        <f>SUM(C9,D9)</f>
        <v>183</v>
      </c>
      <c r="C9" s="74">
        <v>135</v>
      </c>
      <c r="D9" s="74">
        <v>48</v>
      </c>
      <c r="E9" s="75">
        <f>IFERROR(B9/B$5*100,"-")</f>
        <v>8.6935866983372918</v>
      </c>
      <c r="F9" s="74">
        <f>SUM(G9,H9)</f>
        <v>159</v>
      </c>
      <c r="G9" s="74">
        <v>119</v>
      </c>
      <c r="H9" s="74">
        <v>40</v>
      </c>
      <c r="I9" s="75">
        <f>IFERROR(F9/F$5*100,"-")</f>
        <v>7.6589595375722546</v>
      </c>
      <c r="J9" s="74">
        <f>SUM(K9,L9)</f>
        <v>90</v>
      </c>
      <c r="K9" s="74">
        <v>66</v>
      </c>
      <c r="L9" s="74">
        <v>24</v>
      </c>
      <c r="M9" s="75">
        <f>IFERROR(J9/J$5*100,"-")</f>
        <v>6.4935064935064926</v>
      </c>
      <c r="N9" s="74">
        <f>SUM(O9,P9)</f>
        <v>51</v>
      </c>
      <c r="O9" s="74">
        <v>38</v>
      </c>
      <c r="P9" s="74">
        <v>13</v>
      </c>
      <c r="Q9" s="75">
        <f>IFERROR(N9/N$5*100,"-")</f>
        <v>6.1077844311377243</v>
      </c>
      <c r="R9" s="74">
        <f>SUM(S9,T9)</f>
        <v>51</v>
      </c>
      <c r="S9" s="74">
        <v>38</v>
      </c>
      <c r="T9" s="74">
        <v>13</v>
      </c>
      <c r="U9" s="75">
        <f t="shared" si="5"/>
        <v>7.5555555555555554</v>
      </c>
    </row>
    <row r="10" spans="1:22" ht="20.100000000000001" customHeight="1" thickBot="1">
      <c r="A10" s="37" t="s">
        <v>152</v>
      </c>
      <c r="B10" s="226">
        <f>SUM(C10,D10)</f>
        <v>141</v>
      </c>
      <c r="C10" s="226">
        <v>119</v>
      </c>
      <c r="D10" s="226">
        <v>22</v>
      </c>
      <c r="E10" s="227">
        <f>IFERROR(B10/B$5*100,"-")</f>
        <v>6.6983372921615203</v>
      </c>
      <c r="F10" s="226">
        <f>SUM(G10,H10)</f>
        <v>155</v>
      </c>
      <c r="G10" s="226">
        <v>127</v>
      </c>
      <c r="H10" s="226">
        <v>28</v>
      </c>
      <c r="I10" s="227">
        <f>IFERROR(F10/F$5*100,"-")</f>
        <v>7.4662813102119463</v>
      </c>
      <c r="J10" s="226">
        <f>SUM(K10,L10)</f>
        <v>71</v>
      </c>
      <c r="K10" s="226">
        <v>53</v>
      </c>
      <c r="L10" s="226">
        <v>18</v>
      </c>
      <c r="M10" s="227">
        <f>IFERROR(J10/J$5*100,"-")</f>
        <v>5.1226551226551225</v>
      </c>
      <c r="N10" s="77">
        <f>SUM(O10,P10)</f>
        <v>45</v>
      </c>
      <c r="O10" s="77">
        <v>34</v>
      </c>
      <c r="P10" s="77">
        <v>11</v>
      </c>
      <c r="Q10" s="78">
        <f>IFERROR(N10/N$5*100,"-")</f>
        <v>5.3892215568862278</v>
      </c>
      <c r="R10" s="77">
        <f>SUM(S10,T10)</f>
        <v>33</v>
      </c>
      <c r="S10" s="77">
        <v>25</v>
      </c>
      <c r="T10" s="77">
        <v>8</v>
      </c>
      <c r="U10" s="75">
        <f t="shared" si="5"/>
        <v>4.8888888888888893</v>
      </c>
    </row>
    <row r="11" spans="1:22" ht="20.100000000000001" customHeight="1">
      <c r="A11" s="495"/>
      <c r="B11" s="506" t="s">
        <v>70</v>
      </c>
      <c r="C11" s="506"/>
      <c r="D11" s="506"/>
      <c r="E11" s="506"/>
      <c r="F11" s="506" t="s">
        <v>71</v>
      </c>
      <c r="G11" s="506"/>
      <c r="H11" s="506"/>
      <c r="I11" s="506"/>
      <c r="J11" s="506" t="s">
        <v>72</v>
      </c>
      <c r="K11" s="506"/>
      <c r="L11" s="506"/>
      <c r="M11" s="506"/>
      <c r="N11" s="506" t="s">
        <v>73</v>
      </c>
      <c r="O11" s="506"/>
      <c r="P11" s="506"/>
      <c r="Q11" s="506"/>
      <c r="R11" s="506" t="s">
        <v>629</v>
      </c>
      <c r="S11" s="506"/>
      <c r="T11" s="506"/>
      <c r="U11" s="506"/>
    </row>
    <row r="12" spans="1:22" ht="20.100000000000001" customHeight="1">
      <c r="A12" s="483"/>
      <c r="B12" s="395" t="s">
        <v>146</v>
      </c>
      <c r="C12" s="395"/>
      <c r="D12" s="395"/>
      <c r="E12" s="482" t="s">
        <v>147</v>
      </c>
      <c r="F12" s="395" t="s">
        <v>146</v>
      </c>
      <c r="G12" s="395"/>
      <c r="H12" s="395"/>
      <c r="I12" s="482" t="s">
        <v>147</v>
      </c>
      <c r="J12" s="395" t="s">
        <v>146</v>
      </c>
      <c r="K12" s="395"/>
      <c r="L12" s="395"/>
      <c r="M12" s="482" t="s">
        <v>147</v>
      </c>
      <c r="N12" s="395" t="s">
        <v>146</v>
      </c>
      <c r="O12" s="395"/>
      <c r="P12" s="395"/>
      <c r="Q12" s="482" t="s">
        <v>147</v>
      </c>
      <c r="R12" s="395" t="s">
        <v>146</v>
      </c>
      <c r="S12" s="395"/>
      <c r="T12" s="395"/>
      <c r="U12" s="482" t="s">
        <v>147</v>
      </c>
    </row>
    <row r="13" spans="1:22" ht="20.100000000000001" customHeight="1">
      <c r="A13" s="483"/>
      <c r="B13" s="8" t="s">
        <v>61</v>
      </c>
      <c r="C13" s="229" t="s">
        <v>53</v>
      </c>
      <c r="D13" s="229" t="s">
        <v>54</v>
      </c>
      <c r="E13" s="474"/>
      <c r="F13" s="8" t="s">
        <v>61</v>
      </c>
      <c r="G13" s="229" t="s">
        <v>53</v>
      </c>
      <c r="H13" s="229" t="s">
        <v>54</v>
      </c>
      <c r="I13" s="474"/>
      <c r="J13" s="8" t="s">
        <v>61</v>
      </c>
      <c r="K13" s="229" t="s">
        <v>53</v>
      </c>
      <c r="L13" s="229" t="s">
        <v>54</v>
      </c>
      <c r="M13" s="474"/>
      <c r="N13" s="8" t="s">
        <v>61</v>
      </c>
      <c r="O13" s="229" t="s">
        <v>53</v>
      </c>
      <c r="P13" s="229" t="s">
        <v>54</v>
      </c>
      <c r="Q13" s="474"/>
      <c r="R13" s="8" t="s">
        <v>61</v>
      </c>
      <c r="S13" s="229" t="s">
        <v>53</v>
      </c>
      <c r="T13" s="229" t="s">
        <v>54</v>
      </c>
      <c r="U13" s="474"/>
    </row>
    <row r="14" spans="1:22" ht="20.100000000000001" customHeight="1">
      <c r="A14" s="24" t="s">
        <v>61</v>
      </c>
      <c r="B14" s="76">
        <f t="shared" ref="B14" si="6">SUM(C14,D14)</f>
        <v>638</v>
      </c>
      <c r="C14" s="74">
        <f>SUM(C15:C19)</f>
        <v>502</v>
      </c>
      <c r="D14" s="74">
        <f>SUM(D15:D19)</f>
        <v>136</v>
      </c>
      <c r="E14" s="75">
        <f>SUM(E15:E19)</f>
        <v>100</v>
      </c>
      <c r="F14" s="10">
        <f>SUM(F15:F19)</f>
        <v>544</v>
      </c>
      <c r="G14" s="10">
        <f t="shared" ref="G14:H14" si="7">SUM(G15:G19)</f>
        <v>442</v>
      </c>
      <c r="H14" s="10">
        <f t="shared" si="7"/>
        <v>102</v>
      </c>
      <c r="I14" s="75">
        <f>SUM(I15:I19)</f>
        <v>100</v>
      </c>
      <c r="J14" s="10">
        <f>SUM(J15:J19)</f>
        <v>387</v>
      </c>
      <c r="K14" s="10">
        <f t="shared" ref="K14:L14" si="8">SUM(K15:K19)</f>
        <v>302</v>
      </c>
      <c r="L14" s="10">
        <f t="shared" si="8"/>
        <v>85</v>
      </c>
      <c r="M14" s="75">
        <f>SUM(M15:M19)</f>
        <v>100</v>
      </c>
      <c r="N14" s="10">
        <f>SUM(N15:N19)</f>
        <v>349</v>
      </c>
      <c r="O14" s="10">
        <f>SUM(O15:O19)</f>
        <v>295</v>
      </c>
      <c r="P14" s="10">
        <f t="shared" ref="P14" si="9">SUM(P15:P19)</f>
        <v>54</v>
      </c>
      <c r="Q14" s="75">
        <f>SUM(Q15:Q19)</f>
        <v>100</v>
      </c>
      <c r="R14" s="10">
        <f>SUM(R15:R19)</f>
        <v>266</v>
      </c>
      <c r="S14" s="10">
        <f>SUM(S15:S19)</f>
        <v>242</v>
      </c>
      <c r="T14" s="10">
        <f>SUM(T15:T19)</f>
        <v>24</v>
      </c>
      <c r="U14" s="75">
        <f>SUM(U15:U19)</f>
        <v>99.999999999999986</v>
      </c>
    </row>
    <row r="15" spans="1:22" ht="20.100000000000001" customHeight="1">
      <c r="A15" s="24" t="s">
        <v>148</v>
      </c>
      <c r="B15" s="74">
        <f>SUM(C15,D15)</f>
        <v>209</v>
      </c>
      <c r="C15" s="74">
        <v>161</v>
      </c>
      <c r="D15" s="74">
        <v>48</v>
      </c>
      <c r="E15" s="75">
        <f>IFERROR(B15/B$14*100,"-")</f>
        <v>32.758620689655174</v>
      </c>
      <c r="F15" s="5">
        <f>SUM(G15:H15)</f>
        <v>169</v>
      </c>
      <c r="G15" s="5">
        <v>129</v>
      </c>
      <c r="H15" s="5">
        <v>40</v>
      </c>
      <c r="I15" s="75">
        <f>IFERROR(F15/F$14*100,"-")</f>
        <v>31.066176470588236</v>
      </c>
      <c r="J15" s="5">
        <f>SUM(K15:L15)</f>
        <v>143</v>
      </c>
      <c r="K15" s="5">
        <v>109</v>
      </c>
      <c r="L15" s="5">
        <v>34</v>
      </c>
      <c r="M15" s="75">
        <f>IFERROR(J15/J$14*100,"-")</f>
        <v>36.950904392764862</v>
      </c>
      <c r="N15" s="5">
        <v>120</v>
      </c>
      <c r="O15" s="5">
        <v>101</v>
      </c>
      <c r="P15" s="5">
        <v>19</v>
      </c>
      <c r="Q15" s="75">
        <f>IFERROR(N15/N$14*100,"-")</f>
        <v>34.383954154727789</v>
      </c>
      <c r="R15" s="5">
        <f>S15+T15</f>
        <v>91</v>
      </c>
      <c r="S15" s="5">
        <v>79</v>
      </c>
      <c r="T15" s="5">
        <v>12</v>
      </c>
      <c r="U15" s="75">
        <f>IFERROR(R15/R$14*100,"-")</f>
        <v>34.210526315789473</v>
      </c>
    </row>
    <row r="16" spans="1:22" ht="20.100000000000001" customHeight="1">
      <c r="A16" s="24" t="s">
        <v>150</v>
      </c>
      <c r="B16" s="74">
        <f>SUM(C16,D16)</f>
        <v>160</v>
      </c>
      <c r="C16" s="74">
        <v>135</v>
      </c>
      <c r="D16" s="74">
        <v>25</v>
      </c>
      <c r="E16" s="75">
        <f>IFERROR(B16/B$14*100,"-")</f>
        <v>25.078369905956109</v>
      </c>
      <c r="F16" s="5">
        <f>SUM(G16:H16)</f>
        <v>140</v>
      </c>
      <c r="G16" s="5">
        <v>124</v>
      </c>
      <c r="H16" s="5">
        <v>16</v>
      </c>
      <c r="I16" s="75">
        <f>IFERROR(F16/F$14*100,"-")</f>
        <v>25.735294117647058</v>
      </c>
      <c r="J16" s="5">
        <f>SUM(K16:L16)</f>
        <v>81</v>
      </c>
      <c r="K16" s="5">
        <v>70</v>
      </c>
      <c r="L16" s="5">
        <v>11</v>
      </c>
      <c r="M16" s="75">
        <f>IFERROR(J16/J$14*100,"-")</f>
        <v>20.930232558139537</v>
      </c>
      <c r="N16" s="5">
        <v>97</v>
      </c>
      <c r="O16" s="5">
        <v>91</v>
      </c>
      <c r="P16" s="5">
        <v>6</v>
      </c>
      <c r="Q16" s="75">
        <f>IFERROR(N16/N$14*100,"-")</f>
        <v>27.793696275071632</v>
      </c>
      <c r="R16" s="5">
        <f t="shared" ref="R16:R19" si="10">S16+T16</f>
        <v>67</v>
      </c>
      <c r="S16" s="5">
        <v>62</v>
      </c>
      <c r="T16" s="5">
        <v>5</v>
      </c>
      <c r="U16" s="75">
        <f t="shared" ref="U16:U19" si="11">IFERROR(R16/R$14*100,"-")</f>
        <v>25.18796992481203</v>
      </c>
    </row>
    <row r="17" spans="1:21" ht="20.100000000000001" customHeight="1">
      <c r="A17" s="24" t="s">
        <v>149</v>
      </c>
      <c r="B17" s="74">
        <f>SUM(C17,D17)</f>
        <v>179</v>
      </c>
      <c r="C17" s="74">
        <v>136</v>
      </c>
      <c r="D17" s="74">
        <v>43</v>
      </c>
      <c r="E17" s="75">
        <f>IFERROR(B17/B$14*100,"-")</f>
        <v>28.056426332288403</v>
      </c>
      <c r="F17" s="5">
        <f>SUM(G17:H17)</f>
        <v>186</v>
      </c>
      <c r="G17" s="5">
        <v>152</v>
      </c>
      <c r="H17" s="5">
        <v>34</v>
      </c>
      <c r="I17" s="75">
        <f>IFERROR(F17/F$14*100,"-")</f>
        <v>34.191176470588239</v>
      </c>
      <c r="J17" s="5">
        <f>SUM(K17:L17)</f>
        <v>110</v>
      </c>
      <c r="K17" s="5">
        <v>81</v>
      </c>
      <c r="L17" s="5">
        <v>29</v>
      </c>
      <c r="M17" s="75">
        <f>IFERROR(J17/J$14*100,"-")</f>
        <v>28.423772609819121</v>
      </c>
      <c r="N17" s="5">
        <v>94</v>
      </c>
      <c r="O17" s="5">
        <v>75</v>
      </c>
      <c r="P17" s="5">
        <v>19</v>
      </c>
      <c r="Q17" s="75">
        <f>IFERROR(N17/N$14*100,"-")</f>
        <v>26.93409742120344</v>
      </c>
      <c r="R17" s="5">
        <f t="shared" si="10"/>
        <v>72</v>
      </c>
      <c r="S17" s="5">
        <v>67</v>
      </c>
      <c r="T17" s="5">
        <v>5</v>
      </c>
      <c r="U17" s="75">
        <f t="shared" si="11"/>
        <v>27.06766917293233</v>
      </c>
    </row>
    <row r="18" spans="1:21" ht="20.100000000000001" customHeight="1">
      <c r="A18" s="24" t="s">
        <v>151</v>
      </c>
      <c r="B18" s="74">
        <f>SUM(C18,D18)</f>
        <v>50</v>
      </c>
      <c r="C18" s="74">
        <v>37</v>
      </c>
      <c r="D18" s="74">
        <v>13</v>
      </c>
      <c r="E18" s="75">
        <f>IFERROR(B18/B$14*100,"-")</f>
        <v>7.8369905956112857</v>
      </c>
      <c r="F18" s="5">
        <f>SUM(G18:H18)</f>
        <v>29</v>
      </c>
      <c r="G18" s="5">
        <v>22</v>
      </c>
      <c r="H18" s="5">
        <v>7</v>
      </c>
      <c r="I18" s="75">
        <f>IFERROR(F18/F$14*100,"-")</f>
        <v>5.3308823529411766</v>
      </c>
      <c r="J18" s="5">
        <f>SUM(K18:L18)</f>
        <v>32</v>
      </c>
      <c r="K18" s="5">
        <v>24</v>
      </c>
      <c r="L18" s="5">
        <v>8</v>
      </c>
      <c r="M18" s="75">
        <f>IFERROR(J18/J$14*100,"-")</f>
        <v>8.2687338501292</v>
      </c>
      <c r="N18" s="5">
        <v>19</v>
      </c>
      <c r="O18" s="5">
        <v>14</v>
      </c>
      <c r="P18" s="5">
        <v>5</v>
      </c>
      <c r="Q18" s="75">
        <f>IFERROR(N18/N$14*100,"-")</f>
        <v>5.444126074498568</v>
      </c>
      <c r="R18" s="5">
        <f t="shared" si="10"/>
        <v>22</v>
      </c>
      <c r="S18" s="5">
        <v>21</v>
      </c>
      <c r="T18" s="5">
        <v>1</v>
      </c>
      <c r="U18" s="75">
        <f t="shared" si="11"/>
        <v>8.2706766917293226</v>
      </c>
    </row>
    <row r="19" spans="1:21" ht="20.100000000000001" customHeight="1">
      <c r="A19" s="24" t="s">
        <v>152</v>
      </c>
      <c r="B19" s="77">
        <f>SUM(C19,D19)</f>
        <v>40</v>
      </c>
      <c r="C19" s="77">
        <v>33</v>
      </c>
      <c r="D19" s="77">
        <v>7</v>
      </c>
      <c r="E19" s="78">
        <f>IFERROR(B19/B$14*100,"-")</f>
        <v>6.2695924764890272</v>
      </c>
      <c r="F19" s="7">
        <f>SUM(G19:H19)</f>
        <v>20</v>
      </c>
      <c r="G19" s="7">
        <v>15</v>
      </c>
      <c r="H19" s="7">
        <v>5</v>
      </c>
      <c r="I19" s="78">
        <f>IFERROR(F19/F$14*100,"-")</f>
        <v>3.6764705882352944</v>
      </c>
      <c r="J19" s="7">
        <f>SUM(K19:L19)</f>
        <v>21</v>
      </c>
      <c r="K19" s="7">
        <v>18</v>
      </c>
      <c r="L19" s="7">
        <v>3</v>
      </c>
      <c r="M19" s="78">
        <f>IFERROR(J19/J$14*100,"-")</f>
        <v>5.4263565891472867</v>
      </c>
      <c r="N19" s="7">
        <v>19</v>
      </c>
      <c r="O19" s="7">
        <v>14</v>
      </c>
      <c r="P19" s="7">
        <v>5</v>
      </c>
      <c r="Q19" s="78">
        <f>IFERROR(N19/N$14*100,"-")</f>
        <v>5.444126074498568</v>
      </c>
      <c r="R19" s="7">
        <f t="shared" si="10"/>
        <v>14</v>
      </c>
      <c r="S19" s="7">
        <v>13</v>
      </c>
      <c r="T19" s="7">
        <v>1</v>
      </c>
      <c r="U19" s="78">
        <f t="shared" si="11"/>
        <v>5.2631578947368416</v>
      </c>
    </row>
    <row r="20" spans="1:21" ht="45.95" customHeight="1">
      <c r="A20" s="508" t="s">
        <v>153</v>
      </c>
      <c r="B20" s="508"/>
      <c r="C20" s="508"/>
      <c r="D20" s="508"/>
      <c r="E20" s="508"/>
      <c r="F20" s="508"/>
      <c r="G20" s="508"/>
      <c r="H20" s="508"/>
      <c r="I20" s="508"/>
      <c r="J20" s="508"/>
      <c r="K20" s="508"/>
      <c r="L20" s="508"/>
      <c r="M20" s="508"/>
      <c r="N20" s="228"/>
      <c r="O20" s="228"/>
      <c r="P20" s="228"/>
      <c r="Q20" s="11"/>
      <c r="R20" s="11"/>
      <c r="S20" s="11"/>
      <c r="T20" s="11"/>
      <c r="U20" s="11"/>
    </row>
  </sheetData>
  <sortState ref="A15:Q19">
    <sortCondition descending="1" ref="N15:N19"/>
  </sortState>
  <mergeCells count="34">
    <mergeCell ref="R11:U11"/>
    <mergeCell ref="R12:T12"/>
    <mergeCell ref="U12:U13"/>
    <mergeCell ref="A1:U1"/>
    <mergeCell ref="A2:A4"/>
    <mergeCell ref="B2:E2"/>
    <mergeCell ref="F2:I2"/>
    <mergeCell ref="J2:M2"/>
    <mergeCell ref="M3:M4"/>
    <mergeCell ref="N2:Q2"/>
    <mergeCell ref="Q3:Q4"/>
    <mergeCell ref="R2:U2"/>
    <mergeCell ref="R3:T3"/>
    <mergeCell ref="U3:U4"/>
    <mergeCell ref="J11:M11"/>
    <mergeCell ref="N3:P3"/>
    <mergeCell ref="B3:D3"/>
    <mergeCell ref="E3:E4"/>
    <mergeCell ref="F3:H3"/>
    <mergeCell ref="I3:I4"/>
    <mergeCell ref="J3:L3"/>
    <mergeCell ref="A20:M20"/>
    <mergeCell ref="N11:Q11"/>
    <mergeCell ref="N12:P12"/>
    <mergeCell ref="Q12:Q13"/>
    <mergeCell ref="B12:D12"/>
    <mergeCell ref="E12:E13"/>
    <mergeCell ref="F12:H12"/>
    <mergeCell ref="I12:I13"/>
    <mergeCell ref="J12:L12"/>
    <mergeCell ref="A11:A13"/>
    <mergeCell ref="M12:M13"/>
    <mergeCell ref="B11:E11"/>
    <mergeCell ref="F11:I11"/>
  </mergeCells>
  <phoneticPr fontId="3" type="noConversion"/>
  <hyperlinks>
    <hyperlink ref="V1" location="本篇表次!A1" display="回本篇表次"/>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20"/>
  <sheetViews>
    <sheetView showGridLines="0" showRuler="0" zoomScale="120" zoomScaleNormal="120" zoomScalePageLayoutView="125" workbookViewId="0">
      <selection sqref="A1:G1"/>
    </sheetView>
  </sheetViews>
  <sheetFormatPr defaultColWidth="9" defaultRowHeight="20.100000000000001" customHeight="1"/>
  <cols>
    <col min="1" max="1" width="9.125" style="56" customWidth="1"/>
    <col min="2" max="7" width="13.625" style="56" customWidth="1"/>
    <col min="8" max="8" width="12.625" style="56" bestFit="1" customWidth="1"/>
    <col min="9" max="16384" width="9" style="56"/>
  </cols>
  <sheetData>
    <row r="1" spans="1:13" ht="20.100000000000001" customHeight="1">
      <c r="A1" s="389" t="s">
        <v>467</v>
      </c>
      <c r="B1" s="389"/>
      <c r="C1" s="389"/>
      <c r="D1" s="389"/>
      <c r="E1" s="389"/>
      <c r="F1" s="389"/>
      <c r="G1" s="389"/>
      <c r="H1" s="242" t="s">
        <v>548</v>
      </c>
    </row>
    <row r="2" spans="1:13" ht="20.100000000000001" customHeight="1">
      <c r="A2" s="190"/>
      <c r="B2" s="156"/>
      <c r="C2" s="156"/>
      <c r="D2" s="156"/>
      <c r="E2" s="156"/>
      <c r="F2" s="390" t="s">
        <v>468</v>
      </c>
      <c r="G2" s="390"/>
    </row>
    <row r="3" spans="1:13" ht="20.100000000000001" customHeight="1">
      <c r="A3" s="391"/>
      <c r="B3" s="393" t="s">
        <v>469</v>
      </c>
      <c r="C3" s="393"/>
      <c r="D3" s="393"/>
      <c r="E3" s="393" t="s">
        <v>470</v>
      </c>
      <c r="F3" s="393"/>
      <c r="G3" s="393"/>
    </row>
    <row r="4" spans="1:13" ht="20.100000000000001" customHeight="1">
      <c r="A4" s="392"/>
      <c r="B4" s="191" t="s">
        <v>471</v>
      </c>
      <c r="C4" s="192" t="s">
        <v>472</v>
      </c>
      <c r="D4" s="192" t="s">
        <v>473</v>
      </c>
      <c r="E4" s="191" t="s">
        <v>471</v>
      </c>
      <c r="F4" s="192" t="s">
        <v>474</v>
      </c>
      <c r="G4" s="192" t="s">
        <v>473</v>
      </c>
    </row>
    <row r="5" spans="1:13" ht="20.100000000000001" customHeight="1">
      <c r="A5" s="13" t="s">
        <v>475</v>
      </c>
      <c r="B5" s="14">
        <v>1719628</v>
      </c>
      <c r="C5" s="14">
        <v>10969</v>
      </c>
      <c r="D5" s="15">
        <f t="shared" ref="D5:D12" si="0">C5/B5*100000</f>
        <v>637.87051618140663</v>
      </c>
      <c r="E5" s="107">
        <v>19199546</v>
      </c>
      <c r="F5" s="14">
        <v>250029</v>
      </c>
      <c r="G5" s="15">
        <f t="shared" ref="G5:G12" si="1">F5/E5*100000</f>
        <v>1302.2651681451218</v>
      </c>
      <c r="H5" s="95"/>
      <c r="I5" s="110"/>
      <c r="J5" s="52"/>
      <c r="K5" s="110"/>
      <c r="L5" s="52"/>
      <c r="M5" s="52"/>
    </row>
    <row r="6" spans="1:13" ht="20.100000000000001" customHeight="1">
      <c r="A6" s="13" t="s">
        <v>476</v>
      </c>
      <c r="B6" s="14">
        <v>1634004</v>
      </c>
      <c r="C6" s="14">
        <v>11002</v>
      </c>
      <c r="D6" s="15">
        <f t="shared" si="0"/>
        <v>673.31536520106442</v>
      </c>
      <c r="E6" s="107">
        <v>19366339</v>
      </c>
      <c r="F6" s="14">
        <v>257794</v>
      </c>
      <c r="G6" s="15">
        <f t="shared" si="1"/>
        <v>1331.1447248754657</v>
      </c>
      <c r="H6" s="95"/>
      <c r="I6" s="110"/>
      <c r="J6" s="52"/>
      <c r="K6" s="110"/>
      <c r="L6" s="52"/>
      <c r="M6" s="52"/>
    </row>
    <row r="7" spans="1:13" ht="20.100000000000001" customHeight="1">
      <c r="A7" s="13" t="s">
        <v>477</v>
      </c>
      <c r="B7" s="14">
        <v>1561916</v>
      </c>
      <c r="C7" s="14">
        <v>9775</v>
      </c>
      <c r="D7" s="15">
        <f t="shared" si="0"/>
        <v>625.8339116828306</v>
      </c>
      <c r="E7" s="107">
        <v>19500665</v>
      </c>
      <c r="F7" s="14">
        <v>262585</v>
      </c>
      <c r="G7" s="15">
        <f t="shared" si="1"/>
        <v>1346.5438229927031</v>
      </c>
      <c r="H7" s="95"/>
      <c r="I7" s="110"/>
      <c r="J7" s="52"/>
      <c r="K7" s="110"/>
      <c r="L7" s="52"/>
      <c r="M7" s="52"/>
    </row>
    <row r="8" spans="1:13" s="193" customFormat="1" ht="20.100000000000001" customHeight="1">
      <c r="A8" s="13" t="s">
        <v>478</v>
      </c>
      <c r="B8" s="14">
        <v>1500217</v>
      </c>
      <c r="C8" s="14">
        <v>10499</v>
      </c>
      <c r="D8" s="15">
        <f t="shared" si="0"/>
        <v>699.83209095750817</v>
      </c>
      <c r="E8" s="107">
        <v>19611597</v>
      </c>
      <c r="F8" s="14">
        <v>276321</v>
      </c>
      <c r="G8" s="15">
        <f t="shared" si="1"/>
        <v>1408.9673574263227</v>
      </c>
      <c r="H8" s="95"/>
      <c r="I8" s="110"/>
      <c r="J8" s="52"/>
      <c r="K8" s="110"/>
      <c r="L8" s="52"/>
      <c r="M8" s="52"/>
    </row>
    <row r="9" spans="1:13" s="193" customFormat="1" ht="20.100000000000001" customHeight="1">
      <c r="A9" s="13" t="s">
        <v>479</v>
      </c>
      <c r="B9" s="14">
        <v>1413345</v>
      </c>
      <c r="C9" s="14">
        <v>8893</v>
      </c>
      <c r="D9" s="15">
        <f t="shared" si="0"/>
        <v>629.21650410904624</v>
      </c>
      <c r="E9" s="107">
        <v>19740490</v>
      </c>
      <c r="F9" s="14">
        <v>282328</v>
      </c>
      <c r="G9" s="15">
        <f t="shared" si="1"/>
        <v>1430.1975280248869</v>
      </c>
      <c r="H9" s="95"/>
      <c r="I9" s="110"/>
      <c r="J9" s="110"/>
      <c r="K9" s="110"/>
      <c r="L9" s="110"/>
      <c r="M9" s="52"/>
    </row>
    <row r="10" spans="1:13" s="193" customFormat="1" ht="20.100000000000001" customHeight="1">
      <c r="A10" s="13" t="s">
        <v>480</v>
      </c>
      <c r="B10" s="14">
        <v>1338302</v>
      </c>
      <c r="C10" s="14">
        <v>9441</v>
      </c>
      <c r="D10" s="15">
        <f t="shared" si="0"/>
        <v>705.44615490375111</v>
      </c>
      <c r="E10" s="107">
        <v>19855664</v>
      </c>
      <c r="F10" s="14">
        <v>267781</v>
      </c>
      <c r="G10" s="15">
        <f t="shared" si="1"/>
        <v>1348.6378496332331</v>
      </c>
      <c r="H10" s="95"/>
      <c r="I10" s="110"/>
      <c r="J10" s="110"/>
      <c r="K10" s="110"/>
      <c r="L10" s="110"/>
      <c r="M10" s="52"/>
    </row>
    <row r="11" spans="1:13" s="193" customFormat="1" ht="20.100000000000001" customHeight="1">
      <c r="A11" s="13" t="s">
        <v>481</v>
      </c>
      <c r="B11" s="14">
        <v>1287900</v>
      </c>
      <c r="C11" s="14">
        <v>10226</v>
      </c>
      <c r="D11" s="15">
        <f t="shared" si="0"/>
        <v>794.00574578771636</v>
      </c>
      <c r="E11" s="107">
        <v>19923092</v>
      </c>
      <c r="F11" s="14">
        <v>271366</v>
      </c>
      <c r="G11" s="15">
        <f t="shared" si="1"/>
        <v>1362.0676951147946</v>
      </c>
      <c r="H11" s="95"/>
      <c r="I11" s="110"/>
      <c r="J11" s="110"/>
      <c r="K11" s="110"/>
      <c r="L11" s="110"/>
      <c r="M11" s="52"/>
    </row>
    <row r="12" spans="1:13" s="193" customFormat="1" ht="20.100000000000001" customHeight="1">
      <c r="A12" s="13" t="s">
        <v>482</v>
      </c>
      <c r="B12" s="14">
        <v>1242387</v>
      </c>
      <c r="C12" s="14">
        <v>9627</v>
      </c>
      <c r="D12" s="15">
        <f t="shared" si="0"/>
        <v>774.87932504123114</v>
      </c>
      <c r="E12" s="107">
        <v>19901442</v>
      </c>
      <c r="F12" s="14">
        <v>255593</v>
      </c>
      <c r="G12" s="15">
        <f t="shared" si="1"/>
        <v>1284.2938717706988</v>
      </c>
      <c r="H12" s="95"/>
      <c r="I12" s="110"/>
      <c r="J12" s="110"/>
      <c r="K12" s="110"/>
      <c r="L12" s="110"/>
      <c r="M12" s="52"/>
    </row>
    <row r="13" spans="1:13" ht="20.100000000000001" customHeight="1">
      <c r="A13" s="13" t="s">
        <v>377</v>
      </c>
      <c r="B13" s="14">
        <v>1194869</v>
      </c>
      <c r="C13" s="14">
        <v>9554</v>
      </c>
      <c r="D13" s="15">
        <f t="shared" ref="D13:D14" si="2">C13/B13*100000</f>
        <v>799.58556126236419</v>
      </c>
      <c r="E13" s="107">
        <v>19845040</v>
      </c>
      <c r="F13" s="14">
        <v>282337</v>
      </c>
      <c r="G13" s="15">
        <f t="shared" ref="G13:G14" si="3">F13/E13*100000</f>
        <v>1422.7081426895588</v>
      </c>
      <c r="H13" s="95"/>
      <c r="I13" s="110"/>
      <c r="J13" s="110"/>
      <c r="K13" s="110"/>
      <c r="L13" s="110"/>
      <c r="M13" s="52"/>
    </row>
    <row r="14" spans="1:13" ht="20.100000000000001" customHeight="1">
      <c r="A14" s="13" t="s">
        <v>630</v>
      </c>
      <c r="B14" s="14">
        <v>1171242</v>
      </c>
      <c r="C14" s="14">
        <v>10770</v>
      </c>
      <c r="D14" s="15">
        <f t="shared" si="2"/>
        <v>919.53669694222037</v>
      </c>
      <c r="E14" s="107">
        <v>19924357</v>
      </c>
      <c r="F14" s="14">
        <f>33891+41026+63211+67616+43093+15542+10607+10702</f>
        <v>285688</v>
      </c>
      <c r="G14" s="15">
        <f t="shared" si="3"/>
        <v>1433.8630852679462</v>
      </c>
      <c r="H14" s="95"/>
      <c r="I14" s="110"/>
      <c r="J14" s="110"/>
      <c r="K14" s="110"/>
      <c r="L14" s="110"/>
      <c r="M14" s="52"/>
    </row>
    <row r="15" spans="1:13" ht="15.75">
      <c r="A15" s="194" t="s">
        <v>483</v>
      </c>
      <c r="B15" s="194"/>
      <c r="C15" s="195"/>
      <c r="D15" s="195"/>
      <c r="E15" s="195"/>
      <c r="F15" s="195"/>
      <c r="G15" s="195"/>
      <c r="H15" s="95"/>
      <c r="I15" s="52"/>
      <c r="J15" s="52"/>
    </row>
    <row r="16" spans="1:13" ht="29.25" customHeight="1">
      <c r="A16" s="387" t="s">
        <v>484</v>
      </c>
      <c r="B16" s="388"/>
      <c r="C16" s="388"/>
      <c r="D16" s="388"/>
      <c r="E16" s="388"/>
      <c r="F16" s="196"/>
      <c r="G16" s="196"/>
      <c r="H16" s="95"/>
    </row>
    <row r="17" spans="3:3" ht="15.75"/>
    <row r="20" spans="3:3" ht="20.100000000000001" customHeight="1">
      <c r="C20" s="197"/>
    </row>
  </sheetData>
  <mergeCells count="6">
    <mergeCell ref="A16:E16"/>
    <mergeCell ref="A1:G1"/>
    <mergeCell ref="F2:G2"/>
    <mergeCell ref="A3:A4"/>
    <mergeCell ref="B3:D3"/>
    <mergeCell ref="E3:G3"/>
  </mergeCells>
  <phoneticPr fontId="2" type="noConversion"/>
  <hyperlinks>
    <hyperlink ref="H1" location="本篇表次!A1" display="回本篇表次"/>
  </hyperlinks>
  <printOptions horizontalCentered="1" verticalCentered="1"/>
  <pageMargins left="0.74803149606299213" right="0.74803149606299213" top="0.74803149606299213" bottom="0.74803149606299213" header="0.51181102362204722" footer="0.51181102362204722"/>
  <pageSetup paperSize="224"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L23"/>
  <sheetViews>
    <sheetView showGridLines="0" zoomScale="120" zoomScaleNormal="120" workbookViewId="0">
      <pane xSplit="1" topLeftCell="B1" activePane="topRight" state="frozen"/>
      <selection sqref="A1:AF1"/>
      <selection pane="topRight" sqref="A1:AF1"/>
    </sheetView>
  </sheetViews>
  <sheetFormatPr defaultColWidth="9" defaultRowHeight="16.5"/>
  <cols>
    <col min="1" max="1" width="18.125" customWidth="1"/>
    <col min="12" max="12" width="12.625" bestFit="1" customWidth="1"/>
  </cols>
  <sheetData>
    <row r="1" spans="1:12" ht="24.95" customHeight="1">
      <c r="A1" s="398" t="s">
        <v>154</v>
      </c>
      <c r="B1" s="398"/>
      <c r="C1" s="398"/>
      <c r="D1" s="398"/>
      <c r="E1" s="398"/>
      <c r="F1" s="398"/>
      <c r="G1" s="398"/>
      <c r="H1" s="398"/>
      <c r="I1" s="398"/>
      <c r="J1" s="398"/>
      <c r="K1" s="398"/>
      <c r="L1" s="242" t="s">
        <v>548</v>
      </c>
    </row>
    <row r="2" spans="1:12" ht="20.100000000000001" customHeight="1">
      <c r="A2" s="4"/>
      <c r="B2" s="463" t="s">
        <v>55</v>
      </c>
      <c r="C2" s="474"/>
      <c r="D2" s="463" t="s">
        <v>56</v>
      </c>
      <c r="E2" s="474"/>
      <c r="F2" s="463" t="s">
        <v>57</v>
      </c>
      <c r="G2" s="474"/>
      <c r="H2" s="463" t="s">
        <v>58</v>
      </c>
      <c r="I2" s="474"/>
      <c r="J2" s="463" t="s">
        <v>69</v>
      </c>
      <c r="K2" s="474"/>
    </row>
    <row r="3" spans="1:12" ht="20.100000000000001" customHeight="1">
      <c r="A3" s="4"/>
      <c r="B3" s="8" t="s">
        <v>59</v>
      </c>
      <c r="C3" s="8" t="s">
        <v>60</v>
      </c>
      <c r="D3" s="8" t="s">
        <v>59</v>
      </c>
      <c r="E3" s="8" t="s">
        <v>60</v>
      </c>
      <c r="F3" s="8" t="s">
        <v>59</v>
      </c>
      <c r="G3" s="8" t="s">
        <v>60</v>
      </c>
      <c r="H3" s="8" t="s">
        <v>59</v>
      </c>
      <c r="I3" s="8" t="s">
        <v>60</v>
      </c>
      <c r="J3" s="8" t="s">
        <v>59</v>
      </c>
      <c r="K3" s="8" t="s">
        <v>60</v>
      </c>
    </row>
    <row r="4" spans="1:12" ht="20.100000000000001" customHeight="1">
      <c r="A4" s="11" t="s">
        <v>61</v>
      </c>
      <c r="B4" s="18">
        <f t="shared" ref="B4:G4" si="0">SUM(B7:B11)</f>
        <v>2099</v>
      </c>
      <c r="C4" s="19">
        <f t="shared" si="0"/>
        <v>99.999999999999986</v>
      </c>
      <c r="D4" s="18">
        <f t="shared" si="0"/>
        <v>2066</v>
      </c>
      <c r="E4" s="19">
        <f t="shared" si="0"/>
        <v>99.999999999999986</v>
      </c>
      <c r="F4" s="18">
        <f t="shared" si="0"/>
        <v>1380</v>
      </c>
      <c r="G4" s="19">
        <f t="shared" si="0"/>
        <v>100</v>
      </c>
      <c r="H4" s="18">
        <f t="shared" ref="H4" si="1">SUM(H7:H11)</f>
        <v>833</v>
      </c>
      <c r="I4" s="19">
        <f t="shared" ref="I4" si="2">SUM(I7:I11)</f>
        <v>100</v>
      </c>
      <c r="J4" s="18">
        <f t="shared" ref="J4" si="3">SUM(J7:J11)</f>
        <v>671</v>
      </c>
      <c r="K4" s="19">
        <f>SUM(K7:K11)</f>
        <v>100</v>
      </c>
    </row>
    <row r="5" spans="1:12" ht="20.100000000000001" customHeight="1">
      <c r="A5" s="20" t="s">
        <v>62</v>
      </c>
      <c r="B5" s="18">
        <v>1544</v>
      </c>
      <c r="C5" s="19">
        <f>IFERROR(B5/B$4*100,"-")</f>
        <v>73.558837541686515</v>
      </c>
      <c r="D5" s="18">
        <v>1522</v>
      </c>
      <c r="E5" s="19">
        <f>IFERROR(D5/D$4*100,"-")</f>
        <v>73.668925459825758</v>
      </c>
      <c r="F5" s="18">
        <v>997</v>
      </c>
      <c r="G5" s="19">
        <f>IFERROR(F5/F$4*100,"-")</f>
        <v>72.246376811594203</v>
      </c>
      <c r="H5" s="18">
        <v>595</v>
      </c>
      <c r="I5" s="19">
        <f>IFERROR(H5/H$4*100,"-")</f>
        <v>71.428571428571431</v>
      </c>
      <c r="J5" s="18">
        <v>464</v>
      </c>
      <c r="K5" s="19">
        <f>IFERROR(J5/J$4*100,"-")</f>
        <v>69.150521609538004</v>
      </c>
    </row>
    <row r="6" spans="1:12" ht="20.100000000000001" customHeight="1">
      <c r="A6" s="21" t="s">
        <v>63</v>
      </c>
      <c r="B6" s="22">
        <v>555</v>
      </c>
      <c r="C6" s="23">
        <f t="shared" ref="C6:C11" si="4">IFERROR(B6/B$4*100,"-")</f>
        <v>26.441162458313482</v>
      </c>
      <c r="D6" s="22">
        <v>544</v>
      </c>
      <c r="E6" s="23">
        <f t="shared" ref="E6:E11" si="5">IFERROR(D6/D$4*100,"-")</f>
        <v>26.331074540174249</v>
      </c>
      <c r="F6" s="22">
        <v>383</v>
      </c>
      <c r="G6" s="23">
        <f t="shared" ref="G6:G11" si="6">IFERROR(F6/F$4*100,"-")</f>
        <v>27.753623188405797</v>
      </c>
      <c r="H6" s="81">
        <v>238</v>
      </c>
      <c r="I6" s="23">
        <f t="shared" ref="I6:I10" si="7">IFERROR(H6/H$4*100,"-")</f>
        <v>28.571428571428569</v>
      </c>
      <c r="J6" s="81">
        <v>207</v>
      </c>
      <c r="K6" s="23">
        <f>IFERROR(J6/J$4*100,"-")</f>
        <v>30.849478390462</v>
      </c>
    </row>
    <row r="7" spans="1:12" ht="20.100000000000001" customHeight="1">
      <c r="A7" s="34" t="s">
        <v>64</v>
      </c>
      <c r="B7" s="18">
        <v>1097</v>
      </c>
      <c r="C7" s="19">
        <f t="shared" si="4"/>
        <v>52.262982372558362</v>
      </c>
      <c r="D7" s="18">
        <v>1163</v>
      </c>
      <c r="E7" s="19">
        <f t="shared" si="5"/>
        <v>56.292352371732811</v>
      </c>
      <c r="F7" s="18">
        <v>776</v>
      </c>
      <c r="G7" s="19">
        <f t="shared" si="6"/>
        <v>56.231884057971016</v>
      </c>
      <c r="H7" s="18">
        <v>457</v>
      </c>
      <c r="I7" s="19">
        <f>IFERROR(H7/H$4*100,"-")</f>
        <v>54.861944777911162</v>
      </c>
      <c r="J7" s="18">
        <v>375</v>
      </c>
      <c r="K7" s="19">
        <f>IFERROR(J7/J$4*100,"-")</f>
        <v>55.886736214605072</v>
      </c>
    </row>
    <row r="8" spans="1:12" ht="20.100000000000001" customHeight="1">
      <c r="A8" s="24" t="s">
        <v>65</v>
      </c>
      <c r="B8" s="18">
        <v>801</v>
      </c>
      <c r="C8" s="19">
        <f t="shared" si="4"/>
        <v>38.161029061457832</v>
      </c>
      <c r="D8" s="18">
        <v>705</v>
      </c>
      <c r="E8" s="19">
        <f t="shared" si="5"/>
        <v>34.123910939012589</v>
      </c>
      <c r="F8" s="18">
        <v>481</v>
      </c>
      <c r="G8" s="19">
        <f t="shared" si="6"/>
        <v>34.855072463768117</v>
      </c>
      <c r="H8" s="18">
        <v>282</v>
      </c>
      <c r="I8" s="19">
        <f t="shared" si="7"/>
        <v>33.853541416566628</v>
      </c>
      <c r="J8" s="18">
        <v>211</v>
      </c>
      <c r="K8" s="19">
        <f t="shared" ref="K8:K11" si="8">IFERROR(J8/J$4*100,"-")</f>
        <v>31.445603576751118</v>
      </c>
    </row>
    <row r="9" spans="1:12" ht="20.100000000000001" customHeight="1">
      <c r="A9" s="24" t="s">
        <v>66</v>
      </c>
      <c r="B9" s="18">
        <v>183</v>
      </c>
      <c r="C9" s="19">
        <f t="shared" si="4"/>
        <v>8.7184373511195812</v>
      </c>
      <c r="D9" s="18">
        <v>165</v>
      </c>
      <c r="E9" s="19">
        <f t="shared" si="5"/>
        <v>7.9864472410454983</v>
      </c>
      <c r="F9" s="18">
        <v>96</v>
      </c>
      <c r="G9" s="19">
        <f t="shared" si="6"/>
        <v>6.9565217391304346</v>
      </c>
      <c r="H9" s="18">
        <v>75</v>
      </c>
      <c r="I9" s="19">
        <f t="shared" si="7"/>
        <v>9.0036014405762312</v>
      </c>
      <c r="J9" s="18">
        <v>71</v>
      </c>
      <c r="K9" s="19">
        <f t="shared" si="8"/>
        <v>10.581222056631892</v>
      </c>
    </row>
    <row r="10" spans="1:12" ht="20.100000000000001" customHeight="1">
      <c r="A10" s="24" t="s">
        <v>67</v>
      </c>
      <c r="B10" s="18">
        <v>18</v>
      </c>
      <c r="C10" s="19">
        <f t="shared" si="4"/>
        <v>0.85755121486422103</v>
      </c>
      <c r="D10" s="18">
        <v>33</v>
      </c>
      <c r="E10" s="19">
        <f t="shared" si="5"/>
        <v>1.5972894482090998</v>
      </c>
      <c r="F10" s="18">
        <v>27</v>
      </c>
      <c r="G10" s="19">
        <f t="shared" si="6"/>
        <v>1.956521739130435</v>
      </c>
      <c r="H10" s="18">
        <v>19</v>
      </c>
      <c r="I10" s="19">
        <f t="shared" si="7"/>
        <v>2.2809123649459786</v>
      </c>
      <c r="J10" s="18">
        <v>13</v>
      </c>
      <c r="K10" s="19">
        <f t="shared" si="8"/>
        <v>1.9374068554396422</v>
      </c>
    </row>
    <row r="11" spans="1:12" ht="20.100000000000001" customHeight="1" thickBot="1">
      <c r="A11" s="24" t="s">
        <v>68</v>
      </c>
      <c r="B11" s="25" t="s">
        <v>9</v>
      </c>
      <c r="C11" s="26" t="str">
        <f t="shared" si="4"/>
        <v>-</v>
      </c>
      <c r="D11" s="25" t="s">
        <v>9</v>
      </c>
      <c r="E11" s="26" t="str">
        <f t="shared" si="5"/>
        <v>-</v>
      </c>
      <c r="F11" s="25" t="s">
        <v>9</v>
      </c>
      <c r="G11" s="26" t="str">
        <f t="shared" si="6"/>
        <v>-</v>
      </c>
      <c r="H11" s="25" t="s">
        <v>9</v>
      </c>
      <c r="I11" s="26" t="str">
        <f>IFERROR(H11/H$4*100,"-")</f>
        <v>-</v>
      </c>
      <c r="J11" s="25">
        <v>1</v>
      </c>
      <c r="K11" s="27">
        <f t="shared" si="8"/>
        <v>0.14903129657228018</v>
      </c>
    </row>
    <row r="12" spans="1:12" ht="20.100000000000001" customHeight="1">
      <c r="A12" s="28"/>
      <c r="B12" s="463" t="s">
        <v>70</v>
      </c>
      <c r="C12" s="474"/>
      <c r="D12" s="463" t="s">
        <v>71</v>
      </c>
      <c r="E12" s="474"/>
      <c r="F12" s="463" t="s">
        <v>72</v>
      </c>
      <c r="G12" s="474"/>
      <c r="H12" s="509" t="s">
        <v>377</v>
      </c>
      <c r="I12" s="474"/>
      <c r="J12" s="509" t="s">
        <v>630</v>
      </c>
      <c r="K12" s="474"/>
    </row>
    <row r="13" spans="1:12" ht="20.100000000000001" customHeight="1">
      <c r="A13" s="4"/>
      <c r="B13" s="8" t="s">
        <v>59</v>
      </c>
      <c r="C13" s="8" t="s">
        <v>60</v>
      </c>
      <c r="D13" s="8" t="s">
        <v>59</v>
      </c>
      <c r="E13" s="8" t="s">
        <v>60</v>
      </c>
      <c r="F13" s="8" t="s">
        <v>59</v>
      </c>
      <c r="G13" s="8" t="s">
        <v>60</v>
      </c>
      <c r="H13" s="8" t="s">
        <v>59</v>
      </c>
      <c r="I13" s="8" t="s">
        <v>60</v>
      </c>
      <c r="J13" s="8" t="s">
        <v>59</v>
      </c>
      <c r="K13" s="8" t="s">
        <v>60</v>
      </c>
    </row>
    <row r="14" spans="1:12" ht="20.100000000000001" customHeight="1">
      <c r="A14" s="11" t="s">
        <v>61</v>
      </c>
      <c r="B14" s="18">
        <f t="shared" ref="B14:C14" si="9">SUM(B17:B21)</f>
        <v>636</v>
      </c>
      <c r="C14" s="19">
        <f t="shared" si="9"/>
        <v>100.00000000000001</v>
      </c>
      <c r="D14" s="29">
        <f>SUM(D17:D21)</f>
        <v>541</v>
      </c>
      <c r="E14" s="30">
        <f t="shared" ref="E14" si="10">SUM(E17:E21)</f>
        <v>100.00000000000001</v>
      </c>
      <c r="F14" s="29">
        <f>SUM(F17:F21)</f>
        <v>385</v>
      </c>
      <c r="G14" s="30">
        <f t="shared" ref="G14" si="11">SUM(G17:G21)</f>
        <v>99.999999999999986</v>
      </c>
      <c r="H14" s="29">
        <f>SUM(H17:H21)</f>
        <v>346</v>
      </c>
      <c r="I14" s="30">
        <f t="shared" ref="I14" si="12">SUM(I17:I21)</f>
        <v>100.00000000000001</v>
      </c>
      <c r="J14" s="29">
        <f>SUM(J17:J21)</f>
        <v>264</v>
      </c>
      <c r="K14" s="30">
        <f>SUM(K17:K21)</f>
        <v>99.999999999999986</v>
      </c>
    </row>
    <row r="15" spans="1:12" ht="20.100000000000001" customHeight="1">
      <c r="A15" s="20" t="s">
        <v>62</v>
      </c>
      <c r="B15" s="18">
        <v>502</v>
      </c>
      <c r="C15" s="19">
        <f>IFERROR(B15/B$14*100,"-")</f>
        <v>78.930817610062903</v>
      </c>
      <c r="D15" s="100">
        <v>442</v>
      </c>
      <c r="E15" s="19">
        <f>IFERROR(D15/D$14*100,"-")</f>
        <v>81.700554528650642</v>
      </c>
      <c r="F15" s="100">
        <v>301</v>
      </c>
      <c r="G15" s="19">
        <f>IFERROR(F15/F$14*100,"-")</f>
        <v>78.181818181818187</v>
      </c>
      <c r="H15" s="100">
        <v>294</v>
      </c>
      <c r="I15" s="19">
        <f>IFERROR(H15/H$14*100,"-")</f>
        <v>84.971098265895947</v>
      </c>
      <c r="J15" s="100">
        <v>240</v>
      </c>
      <c r="K15" s="19">
        <f>IFERROR(J15/J$14*100,"-")</f>
        <v>90.909090909090907</v>
      </c>
    </row>
    <row r="16" spans="1:12" ht="20.100000000000001" customHeight="1">
      <c r="A16" s="80" t="s">
        <v>63</v>
      </c>
      <c r="B16" s="81">
        <v>134</v>
      </c>
      <c r="C16" s="82">
        <f t="shared" ref="C16:C21" si="13">IFERROR(B16/B$14*100,"-")</f>
        <v>21.069182389937108</v>
      </c>
      <c r="D16" s="206">
        <v>99</v>
      </c>
      <c r="E16" s="23">
        <f t="shared" ref="E16:E21" si="14">IFERROR(D16/D$14*100,"-")</f>
        <v>18.299445471349355</v>
      </c>
      <c r="F16" s="206">
        <v>84</v>
      </c>
      <c r="G16" s="23">
        <f t="shared" ref="G16:G21" si="15">IFERROR(F16/F$14*100,"-")</f>
        <v>21.818181818181817</v>
      </c>
      <c r="H16" s="206">
        <v>52</v>
      </c>
      <c r="I16" s="23">
        <f t="shared" ref="I16:I21" si="16">IFERROR(H16/H$14*100,"-")</f>
        <v>15.028901734104046</v>
      </c>
      <c r="J16" s="206">
        <v>24</v>
      </c>
      <c r="K16" s="23">
        <f>IFERROR(J16/J$14*100,"-")</f>
        <v>9.0909090909090917</v>
      </c>
    </row>
    <row r="17" spans="1:11" ht="20.100000000000001" customHeight="1">
      <c r="A17" s="34" t="s">
        <v>64</v>
      </c>
      <c r="B17" s="18">
        <v>381</v>
      </c>
      <c r="C17" s="19">
        <f t="shared" si="13"/>
        <v>59.905660377358494</v>
      </c>
      <c r="D17" s="32">
        <f>275+61</f>
        <v>336</v>
      </c>
      <c r="E17" s="19">
        <f t="shared" si="14"/>
        <v>62.107208872458408</v>
      </c>
      <c r="F17" s="32">
        <v>200</v>
      </c>
      <c r="G17" s="19">
        <f t="shared" si="15"/>
        <v>51.94805194805194</v>
      </c>
      <c r="H17" s="32">
        <v>189</v>
      </c>
      <c r="I17" s="19">
        <f>IFERROR(H17/H$14*100,"-")</f>
        <v>54.624277456647398</v>
      </c>
      <c r="J17" s="32">
        <v>145</v>
      </c>
      <c r="K17" s="19">
        <f>IFERROR(J17/J$14*100,"-")</f>
        <v>54.924242424242422</v>
      </c>
    </row>
    <row r="18" spans="1:11" ht="20.100000000000001" customHeight="1">
      <c r="A18" s="24" t="s">
        <v>65</v>
      </c>
      <c r="B18" s="18">
        <v>201</v>
      </c>
      <c r="C18" s="19">
        <f t="shared" si="13"/>
        <v>31.60377358490566</v>
      </c>
      <c r="D18" s="32">
        <f>127+22</f>
        <v>149</v>
      </c>
      <c r="E18" s="19">
        <f t="shared" si="14"/>
        <v>27.541589648798521</v>
      </c>
      <c r="F18" s="32">
        <v>142</v>
      </c>
      <c r="G18" s="19">
        <f t="shared" si="15"/>
        <v>36.883116883116884</v>
      </c>
      <c r="H18" s="32">
        <v>117</v>
      </c>
      <c r="I18" s="19">
        <f t="shared" si="16"/>
        <v>33.815028901734109</v>
      </c>
      <c r="J18" s="32">
        <v>88</v>
      </c>
      <c r="K18" s="19">
        <f t="shared" ref="K18:K21" si="17">IFERROR(J18/J$14*100,"-")</f>
        <v>33.333333333333329</v>
      </c>
    </row>
    <row r="19" spans="1:11" ht="20.100000000000001" customHeight="1">
      <c r="A19" s="24" t="s">
        <v>66</v>
      </c>
      <c r="B19" s="18">
        <v>40</v>
      </c>
      <c r="C19" s="19">
        <f t="shared" si="13"/>
        <v>6.2893081761006293</v>
      </c>
      <c r="D19" s="32">
        <f>27+12</f>
        <v>39</v>
      </c>
      <c r="E19" s="19">
        <f t="shared" si="14"/>
        <v>7.208872458410351</v>
      </c>
      <c r="F19" s="32">
        <v>36</v>
      </c>
      <c r="G19" s="19">
        <f t="shared" si="15"/>
        <v>9.3506493506493502</v>
      </c>
      <c r="H19" s="32">
        <v>29</v>
      </c>
      <c r="I19" s="19">
        <f t="shared" si="16"/>
        <v>8.3815028901734099</v>
      </c>
      <c r="J19" s="32">
        <v>28</v>
      </c>
      <c r="K19" s="19">
        <f t="shared" si="17"/>
        <v>10.606060606060606</v>
      </c>
    </row>
    <row r="20" spans="1:11" ht="20.100000000000001" customHeight="1">
      <c r="A20" s="24" t="s">
        <v>67</v>
      </c>
      <c r="B20" s="18">
        <v>10</v>
      </c>
      <c r="C20" s="19">
        <f t="shared" si="13"/>
        <v>1.5723270440251573</v>
      </c>
      <c r="D20" s="32">
        <f>11+2</f>
        <v>13</v>
      </c>
      <c r="E20" s="19">
        <f t="shared" si="14"/>
        <v>2.4029574861367835</v>
      </c>
      <c r="F20" s="32">
        <v>7</v>
      </c>
      <c r="G20" s="19">
        <f t="shared" si="15"/>
        <v>1.8181818181818181</v>
      </c>
      <c r="H20" s="32">
        <v>6</v>
      </c>
      <c r="I20" s="19">
        <f t="shared" si="16"/>
        <v>1.7341040462427744</v>
      </c>
      <c r="J20" s="32">
        <v>2</v>
      </c>
      <c r="K20" s="19">
        <f t="shared" si="17"/>
        <v>0.75757575757575757</v>
      </c>
    </row>
    <row r="21" spans="1:11" ht="20.100000000000001" customHeight="1">
      <c r="A21" s="35" t="s">
        <v>68</v>
      </c>
      <c r="B21" s="22">
        <v>4</v>
      </c>
      <c r="C21" s="23">
        <f t="shared" si="13"/>
        <v>0.62893081761006298</v>
      </c>
      <c r="D21" s="33">
        <f>2+2</f>
        <v>4</v>
      </c>
      <c r="E21" s="23">
        <f t="shared" si="14"/>
        <v>0.73937153419593349</v>
      </c>
      <c r="F21" s="60" t="s">
        <v>9</v>
      </c>
      <c r="G21" s="7" t="str">
        <f t="shared" si="15"/>
        <v>-</v>
      </c>
      <c r="H21" s="60">
        <v>5</v>
      </c>
      <c r="I21" s="7">
        <f t="shared" si="16"/>
        <v>1.4450867052023122</v>
      </c>
      <c r="J21" s="60">
        <v>1</v>
      </c>
      <c r="K21" s="23">
        <f t="shared" si="17"/>
        <v>0.37878787878787878</v>
      </c>
    </row>
    <row r="22" spans="1:11">
      <c r="A22" s="510" t="s">
        <v>134</v>
      </c>
      <c r="B22" s="511"/>
      <c r="C22" s="512"/>
      <c r="D22" s="511"/>
      <c r="E22" s="56"/>
      <c r="F22" s="83"/>
      <c r="G22" s="84"/>
      <c r="H22" s="83"/>
      <c r="I22" s="84"/>
      <c r="J22" s="83"/>
      <c r="K22" s="85"/>
    </row>
    <row r="23" spans="1:11" ht="42" customHeight="1">
      <c r="A23" s="496" t="s">
        <v>155</v>
      </c>
      <c r="B23" s="496"/>
      <c r="C23" s="496"/>
      <c r="D23" s="496"/>
      <c r="E23" s="496"/>
      <c r="F23" s="496"/>
      <c r="G23" s="496"/>
      <c r="H23" s="496"/>
      <c r="I23" s="496"/>
      <c r="J23" s="496"/>
      <c r="K23" s="496"/>
    </row>
  </sheetData>
  <mergeCells count="13">
    <mergeCell ref="A1:K1"/>
    <mergeCell ref="B2:C2"/>
    <mergeCell ref="D2:E2"/>
    <mergeCell ref="F2:G2"/>
    <mergeCell ref="H2:I2"/>
    <mergeCell ref="J2:K2"/>
    <mergeCell ref="A23:K23"/>
    <mergeCell ref="B12:C12"/>
    <mergeCell ref="D12:E12"/>
    <mergeCell ref="F12:G12"/>
    <mergeCell ref="H12:I12"/>
    <mergeCell ref="A22:D22"/>
    <mergeCell ref="J12:K12"/>
  </mergeCells>
  <phoneticPr fontId="3" type="noConversion"/>
  <hyperlinks>
    <hyperlink ref="L1" location="本篇表次!A1" display="回本篇表次"/>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L18"/>
  <sheetViews>
    <sheetView showGridLines="0" zoomScale="120" zoomScaleNormal="120" workbookViewId="0">
      <pane xSplit="1" topLeftCell="B1" activePane="topRight" state="frozen"/>
      <selection sqref="A1:AF1"/>
      <selection pane="topRight" sqref="A1:AF1"/>
    </sheetView>
  </sheetViews>
  <sheetFormatPr defaultColWidth="9" defaultRowHeight="16.5"/>
  <cols>
    <col min="1" max="1" width="18.125" customWidth="1"/>
    <col min="12" max="12" width="12.625" bestFit="1" customWidth="1"/>
  </cols>
  <sheetData>
    <row r="1" spans="1:12" ht="24" customHeight="1">
      <c r="A1" s="398" t="s">
        <v>562</v>
      </c>
      <c r="B1" s="398"/>
      <c r="C1" s="398"/>
      <c r="D1" s="398"/>
      <c r="E1" s="398"/>
      <c r="F1" s="398"/>
      <c r="G1" s="398"/>
      <c r="H1" s="398"/>
      <c r="I1" s="398"/>
      <c r="J1" s="398"/>
      <c r="K1" s="398"/>
      <c r="L1" s="242" t="s">
        <v>548</v>
      </c>
    </row>
    <row r="2" spans="1:12" ht="18.95" customHeight="1">
      <c r="A2" s="564"/>
      <c r="B2" s="474" t="s">
        <v>37</v>
      </c>
      <c r="C2" s="474"/>
      <c r="D2" s="474" t="s">
        <v>38</v>
      </c>
      <c r="E2" s="474"/>
      <c r="F2" s="474" t="s">
        <v>39</v>
      </c>
      <c r="G2" s="474"/>
      <c r="H2" s="474" t="s">
        <v>212</v>
      </c>
      <c r="I2" s="474"/>
      <c r="J2" s="474" t="s">
        <v>41</v>
      </c>
      <c r="K2" s="474"/>
    </row>
    <row r="3" spans="1:12" ht="18.95" customHeight="1">
      <c r="A3" s="4"/>
      <c r="B3" s="8" t="s">
        <v>76</v>
      </c>
      <c r="C3" s="8" t="s">
        <v>60</v>
      </c>
      <c r="D3" s="8" t="s">
        <v>76</v>
      </c>
      <c r="E3" s="8" t="s">
        <v>60</v>
      </c>
      <c r="F3" s="8" t="s">
        <v>76</v>
      </c>
      <c r="G3" s="8" t="s">
        <v>60</v>
      </c>
      <c r="H3" s="8" t="s">
        <v>76</v>
      </c>
      <c r="I3" s="8" t="s">
        <v>60</v>
      </c>
      <c r="J3" s="8" t="s">
        <v>76</v>
      </c>
      <c r="K3" s="8" t="s">
        <v>60</v>
      </c>
    </row>
    <row r="4" spans="1:12" ht="18.95" customHeight="1">
      <c r="A4" s="24" t="s">
        <v>48</v>
      </c>
      <c r="B4" s="142">
        <v>2105</v>
      </c>
      <c r="C4" s="19">
        <f>SUM(C5:C9)</f>
        <v>99.999999999999986</v>
      </c>
      <c r="D4" s="142">
        <v>2076</v>
      </c>
      <c r="E4" s="19">
        <f>SUM(E5:E9)</f>
        <v>99.999999999999986</v>
      </c>
      <c r="F4" s="142">
        <v>1386</v>
      </c>
      <c r="G4" s="19">
        <f>SUM(G5:G9)</f>
        <v>100.00000000000001</v>
      </c>
      <c r="H4" s="142">
        <v>835</v>
      </c>
      <c r="I4" s="19">
        <f>SUM(I5:I9)</f>
        <v>99.999999999999986</v>
      </c>
      <c r="J4" s="142">
        <v>675</v>
      </c>
      <c r="K4" s="19">
        <f>SUM(K5:K9)</f>
        <v>100.00000000000001</v>
      </c>
    </row>
    <row r="5" spans="1:12" ht="18.95" customHeight="1">
      <c r="A5" s="24" t="s">
        <v>311</v>
      </c>
      <c r="B5" s="18">
        <v>1782</v>
      </c>
      <c r="C5" s="19">
        <f>IFERROR(B5/B$4*100,"-")</f>
        <v>84.655581947743457</v>
      </c>
      <c r="D5" s="18">
        <v>1796</v>
      </c>
      <c r="E5" s="19">
        <f>IFERROR(D5/D$4*100,"-")</f>
        <v>86.51252408477842</v>
      </c>
      <c r="F5" s="18">
        <v>1220</v>
      </c>
      <c r="G5" s="19">
        <f>IFERROR(F5/F$4*100,"-")</f>
        <v>88.023088023088022</v>
      </c>
      <c r="H5" s="18">
        <v>733</v>
      </c>
      <c r="I5" s="19">
        <f>IFERROR(H5/H$4*100,"-")</f>
        <v>87.784431137724553</v>
      </c>
      <c r="J5" s="18">
        <v>590</v>
      </c>
      <c r="K5" s="19">
        <f>IFERROR(J5/J$4*100,"-")</f>
        <v>87.407407407407405</v>
      </c>
    </row>
    <row r="6" spans="1:12" ht="18.95" customHeight="1">
      <c r="A6" s="24" t="s">
        <v>312</v>
      </c>
      <c r="B6" s="18">
        <v>215</v>
      </c>
      <c r="C6" s="19">
        <f>IFERROR(B6/B$4*100,"-")</f>
        <v>10.213776722090261</v>
      </c>
      <c r="D6" s="18">
        <v>190</v>
      </c>
      <c r="E6" s="19">
        <f>IFERROR(D6/D$4*100,"-")</f>
        <v>9.1522157996146429</v>
      </c>
      <c r="F6" s="18">
        <v>109</v>
      </c>
      <c r="G6" s="19">
        <f>IFERROR(F6/F$4*100,"-")</f>
        <v>7.8643578643578644</v>
      </c>
      <c r="H6" s="18">
        <v>69</v>
      </c>
      <c r="I6" s="19">
        <f>IFERROR(H6/H$4*100,"-")</f>
        <v>8.2634730538922163</v>
      </c>
      <c r="J6" s="18">
        <v>55</v>
      </c>
      <c r="K6" s="19">
        <f t="shared" ref="K6:K9" si="0">IFERROR(J6/J$4*100,"-")</f>
        <v>8.1481481481481488</v>
      </c>
    </row>
    <row r="7" spans="1:12" ht="18.95" customHeight="1">
      <c r="A7" s="24" t="s">
        <v>313</v>
      </c>
      <c r="B7" s="18">
        <v>28</v>
      </c>
      <c r="C7" s="19">
        <f>IFERROR(B7/B$4*100,"-")</f>
        <v>1.330166270783848</v>
      </c>
      <c r="D7" s="18">
        <v>22</v>
      </c>
      <c r="E7" s="19">
        <f>IFERROR(D7/D$4*100,"-")</f>
        <v>1.0597302504816954</v>
      </c>
      <c r="F7" s="18">
        <v>18</v>
      </c>
      <c r="G7" s="19">
        <f>IFERROR(F7/F$4*100,"-")</f>
        <v>1.2987012987012987</v>
      </c>
      <c r="H7" s="18">
        <v>5</v>
      </c>
      <c r="I7" s="19">
        <f>IFERROR(H7/H$4*100,"-")</f>
        <v>0.5988023952095809</v>
      </c>
      <c r="J7" s="18">
        <v>8</v>
      </c>
      <c r="K7" s="19">
        <f t="shared" si="0"/>
        <v>1.1851851851851851</v>
      </c>
    </row>
    <row r="8" spans="1:12" ht="18.95" customHeight="1">
      <c r="A8" s="24" t="s">
        <v>314</v>
      </c>
      <c r="B8" s="18">
        <v>69</v>
      </c>
      <c r="C8" s="19">
        <f>IFERROR(B8/B$4*100,"-")</f>
        <v>3.2779097387173399</v>
      </c>
      <c r="D8" s="18">
        <v>59</v>
      </c>
      <c r="E8" s="19">
        <f>IFERROR(D8/D$4*100,"-")</f>
        <v>2.8420038535645471</v>
      </c>
      <c r="F8" s="18">
        <v>32</v>
      </c>
      <c r="G8" s="19">
        <f>IFERROR(F8/F$4*100,"-")</f>
        <v>2.3088023088023086</v>
      </c>
      <c r="H8" s="18">
        <v>26</v>
      </c>
      <c r="I8" s="19">
        <f>IFERROR(H8/H$4*100,"-")</f>
        <v>3.1137724550898205</v>
      </c>
      <c r="J8" s="18">
        <v>21</v>
      </c>
      <c r="K8" s="19">
        <f t="shared" si="0"/>
        <v>3.1111111111111112</v>
      </c>
    </row>
    <row r="9" spans="1:12" ht="18.95" customHeight="1" thickBot="1">
      <c r="A9" s="24" t="s">
        <v>315</v>
      </c>
      <c r="B9" s="18">
        <v>11</v>
      </c>
      <c r="C9" s="19">
        <f>IFERROR(B9/B$4*100,"-")</f>
        <v>0.5225653206650831</v>
      </c>
      <c r="D9" s="22">
        <v>9</v>
      </c>
      <c r="E9" s="19">
        <f>IFERROR(D9/D$4*100,"-")</f>
        <v>0.43352601156069359</v>
      </c>
      <c r="F9" s="22">
        <v>7</v>
      </c>
      <c r="G9" s="19">
        <f>IFERROR(F9/F$4*100,"-")</f>
        <v>0.50505050505050508</v>
      </c>
      <c r="H9" s="22">
        <v>2</v>
      </c>
      <c r="I9" s="19">
        <f>IFERROR(H9/H$4*100,"-")</f>
        <v>0.23952095808383234</v>
      </c>
      <c r="J9" s="22">
        <v>1</v>
      </c>
      <c r="K9" s="19">
        <f t="shared" si="0"/>
        <v>0.14814814814814814</v>
      </c>
    </row>
    <row r="10" spans="1:12" ht="18.95" customHeight="1">
      <c r="A10" s="28"/>
      <c r="B10" s="473" t="s">
        <v>42</v>
      </c>
      <c r="C10" s="473"/>
      <c r="D10" s="473" t="s">
        <v>43</v>
      </c>
      <c r="E10" s="473"/>
      <c r="F10" s="473" t="s">
        <v>77</v>
      </c>
      <c r="G10" s="473"/>
      <c r="H10" s="473" t="s">
        <v>45</v>
      </c>
      <c r="I10" s="473"/>
      <c r="J10" s="473" t="s">
        <v>619</v>
      </c>
      <c r="K10" s="473"/>
    </row>
    <row r="11" spans="1:12" ht="18.95" customHeight="1">
      <c r="A11" s="4"/>
      <c r="B11" s="8" t="s">
        <v>76</v>
      </c>
      <c r="C11" s="8" t="s">
        <v>60</v>
      </c>
      <c r="D11" s="8" t="s">
        <v>76</v>
      </c>
      <c r="E11" s="8" t="s">
        <v>60</v>
      </c>
      <c r="F11" s="8" t="s">
        <v>76</v>
      </c>
      <c r="G11" s="8" t="s">
        <v>60</v>
      </c>
      <c r="H11" s="8" t="s">
        <v>76</v>
      </c>
      <c r="I11" s="8" t="s">
        <v>60</v>
      </c>
      <c r="J11" s="8" t="s">
        <v>76</v>
      </c>
      <c r="K11" s="8" t="s">
        <v>60</v>
      </c>
    </row>
    <row r="12" spans="1:12" ht="18.95" customHeight="1">
      <c r="A12" s="24" t="s">
        <v>48</v>
      </c>
      <c r="B12" s="142">
        <v>638</v>
      </c>
      <c r="C12" s="19">
        <f t="shared" ref="C12:I12" si="1">SUM(C13:C17)</f>
        <v>100</v>
      </c>
      <c r="D12" s="10">
        <f t="shared" si="1"/>
        <v>544</v>
      </c>
      <c r="E12" s="19">
        <f t="shared" si="1"/>
        <v>100.00000000000001</v>
      </c>
      <c r="F12" s="10">
        <f t="shared" si="1"/>
        <v>387</v>
      </c>
      <c r="G12" s="19">
        <f t="shared" si="1"/>
        <v>99.999999999999986</v>
      </c>
      <c r="H12" s="10">
        <f t="shared" si="1"/>
        <v>349</v>
      </c>
      <c r="I12" s="19">
        <f t="shared" si="1"/>
        <v>100</v>
      </c>
      <c r="J12" s="10">
        <f>SUM(J13:J17)</f>
        <v>266</v>
      </c>
      <c r="K12" s="19">
        <f>SUM(K13:K17)</f>
        <v>100</v>
      </c>
    </row>
    <row r="13" spans="1:12" ht="18.95" customHeight="1">
      <c r="A13" s="24" t="s">
        <v>311</v>
      </c>
      <c r="B13" s="18">
        <v>547</v>
      </c>
      <c r="C13" s="19">
        <f>IFERROR(B13/B$12*100,"-")</f>
        <v>85.736677115987462</v>
      </c>
      <c r="D13" s="5">
        <f>386+88</f>
        <v>474</v>
      </c>
      <c r="E13" s="19">
        <f>IFERROR(D13/D$12*100,"-")</f>
        <v>87.132352941176478</v>
      </c>
      <c r="F13" s="5">
        <f>258+72</f>
        <v>330</v>
      </c>
      <c r="G13" s="19">
        <f>IFERROR(F13/F$12*100,"-")</f>
        <v>85.271317829457359</v>
      </c>
      <c r="H13" s="5">
        <v>301</v>
      </c>
      <c r="I13" s="19">
        <f>IFERROR(H13/H$12*100,"-")</f>
        <v>86.246418338108882</v>
      </c>
      <c r="J13" s="5">
        <f>212+23</f>
        <v>235</v>
      </c>
      <c r="K13" s="19">
        <f>IFERROR(J13/J$12*100,"-")</f>
        <v>88.345864661654133</v>
      </c>
    </row>
    <row r="14" spans="1:12" ht="18.95" customHeight="1">
      <c r="A14" s="24" t="s">
        <v>312</v>
      </c>
      <c r="B14" s="18">
        <v>67</v>
      </c>
      <c r="C14" s="19">
        <f>IFERROR(B14/B$12*100,"-")</f>
        <v>10.501567398119123</v>
      </c>
      <c r="D14" s="5">
        <f>32+12</f>
        <v>44</v>
      </c>
      <c r="E14" s="19">
        <f>IFERROR(D14/D$12*100,"-")</f>
        <v>8.0882352941176467</v>
      </c>
      <c r="F14" s="5">
        <f>24+7</f>
        <v>31</v>
      </c>
      <c r="G14" s="19">
        <f>IFERROR(F14/F$12*100,"-")</f>
        <v>8.0103359173126609</v>
      </c>
      <c r="H14" s="5">
        <v>30</v>
      </c>
      <c r="I14" s="19">
        <f t="shared" ref="I14:I17" si="2">IFERROR(H14/H$12*100,"-")</f>
        <v>8.5959885386819472</v>
      </c>
      <c r="J14" s="5">
        <v>17</v>
      </c>
      <c r="K14" s="19">
        <f t="shared" ref="K14:K17" si="3">IFERROR(J14/J$12*100,"-")</f>
        <v>6.3909774436090219</v>
      </c>
    </row>
    <row r="15" spans="1:12" ht="18.95" customHeight="1">
      <c r="A15" s="24" t="s">
        <v>313</v>
      </c>
      <c r="B15" s="18">
        <v>13</v>
      </c>
      <c r="C15" s="19">
        <f>IFERROR(B15/B$12*100,"-")</f>
        <v>2.0376175548589339</v>
      </c>
      <c r="D15" s="5">
        <f>16+1</f>
        <v>17</v>
      </c>
      <c r="E15" s="19">
        <f>IFERROR(D15/D$12*100,"-")</f>
        <v>3.125</v>
      </c>
      <c r="F15" s="5">
        <f>11+4</f>
        <v>15</v>
      </c>
      <c r="G15" s="19">
        <f>IFERROR(F15/F$12*100,"-")</f>
        <v>3.8759689922480618</v>
      </c>
      <c r="H15" s="5">
        <v>10</v>
      </c>
      <c r="I15" s="19">
        <f t="shared" si="2"/>
        <v>2.8653295128939829</v>
      </c>
      <c r="J15" s="5">
        <v>9</v>
      </c>
      <c r="K15" s="19">
        <f t="shared" si="3"/>
        <v>3.3834586466165413</v>
      </c>
    </row>
    <row r="16" spans="1:12" ht="18.95" customHeight="1">
      <c r="A16" s="24" t="s">
        <v>314</v>
      </c>
      <c r="B16" s="18">
        <v>9</v>
      </c>
      <c r="C16" s="19">
        <f>IFERROR(B16/B$12*100,"-")</f>
        <v>1.4106583072100314</v>
      </c>
      <c r="D16" s="5">
        <f>8+1</f>
        <v>9</v>
      </c>
      <c r="E16" s="19">
        <f>IFERROR(D16/D$12*100,"-")</f>
        <v>1.6544117647058825</v>
      </c>
      <c r="F16" s="5">
        <f>8+2</f>
        <v>10</v>
      </c>
      <c r="G16" s="19">
        <f>IFERROR(F16/F$12*100,"-")</f>
        <v>2.5839793281653747</v>
      </c>
      <c r="H16" s="5">
        <v>7</v>
      </c>
      <c r="I16" s="19">
        <f t="shared" si="2"/>
        <v>2.005730659025788</v>
      </c>
      <c r="J16" s="5">
        <v>4</v>
      </c>
      <c r="K16" s="19">
        <f t="shared" si="3"/>
        <v>1.5037593984962405</v>
      </c>
    </row>
    <row r="17" spans="1:11" ht="18.95" customHeight="1">
      <c r="A17" s="35" t="s">
        <v>315</v>
      </c>
      <c r="B17" s="22">
        <v>2</v>
      </c>
      <c r="C17" s="19">
        <f>IFERROR(B17/B$12*100,"-")</f>
        <v>0.31347962382445138</v>
      </c>
      <c r="D17" s="7" t="s">
        <v>50</v>
      </c>
      <c r="E17" s="66" t="str">
        <f>IFERROR(D17/D$12*100,"-")</f>
        <v>-</v>
      </c>
      <c r="F17" s="7">
        <v>1</v>
      </c>
      <c r="G17" s="19">
        <f>IFERROR(F17/F$12*100,"-")</f>
        <v>0.2583979328165375</v>
      </c>
      <c r="H17" s="7">
        <v>1</v>
      </c>
      <c r="I17" s="19">
        <f t="shared" si="2"/>
        <v>0.28653295128939826</v>
      </c>
      <c r="J17" s="7">
        <v>1</v>
      </c>
      <c r="K17" s="19">
        <f t="shared" si="3"/>
        <v>0.37593984962406013</v>
      </c>
    </row>
    <row r="18" spans="1:11" ht="48" customHeight="1">
      <c r="A18" s="508" t="s">
        <v>373</v>
      </c>
      <c r="B18" s="508"/>
      <c r="C18" s="508"/>
      <c r="D18" s="508"/>
      <c r="E18" s="508"/>
      <c r="F18" s="508"/>
      <c r="G18" s="508"/>
      <c r="H18" s="508"/>
      <c r="I18" s="508"/>
      <c r="J18" s="508"/>
      <c r="K18" s="508"/>
    </row>
  </sheetData>
  <mergeCells count="12">
    <mergeCell ref="A18:K18"/>
    <mergeCell ref="H10:I10"/>
    <mergeCell ref="A1:K1"/>
    <mergeCell ref="B2:C2"/>
    <mergeCell ref="D2:E2"/>
    <mergeCell ref="F2:G2"/>
    <mergeCell ref="H2:I2"/>
    <mergeCell ref="B10:C10"/>
    <mergeCell ref="D10:E10"/>
    <mergeCell ref="F10:G10"/>
    <mergeCell ref="J2:K2"/>
    <mergeCell ref="J10:K10"/>
  </mergeCells>
  <phoneticPr fontId="3" type="noConversion"/>
  <hyperlinks>
    <hyperlink ref="L1" location="本篇表次!A1" display="回本篇表次"/>
  </hyperlinks>
  <pageMargins left="0.7" right="0.7" top="0.75" bottom="0.75" header="0.3" footer="0.3"/>
  <pageSetup paperSize="9" orientation="portrait" r:id="rId1"/>
  <ignoredErrors>
    <ignoredError sqref="F13:F16" formula="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L22"/>
  <sheetViews>
    <sheetView showGridLines="0" zoomScale="120" zoomScaleNormal="120" workbookViewId="0">
      <pane xSplit="1" topLeftCell="B1" activePane="topRight" state="frozen"/>
      <selection sqref="A1:AF1"/>
      <selection pane="topRight" sqref="A1:AF1"/>
    </sheetView>
  </sheetViews>
  <sheetFormatPr defaultColWidth="9" defaultRowHeight="16.5"/>
  <cols>
    <col min="1" max="1" width="15.875" customWidth="1"/>
    <col min="12" max="12" width="12.625" bestFit="1" customWidth="1"/>
  </cols>
  <sheetData>
    <row r="1" spans="1:12" ht="24" customHeight="1">
      <c r="A1" s="389" t="s">
        <v>374</v>
      </c>
      <c r="B1" s="389"/>
      <c r="C1" s="389"/>
      <c r="D1" s="389"/>
      <c r="E1" s="389"/>
      <c r="F1" s="389"/>
      <c r="G1" s="389"/>
      <c r="H1" s="389"/>
      <c r="I1" s="389"/>
      <c r="J1" s="389"/>
      <c r="K1" s="389"/>
      <c r="L1" s="242" t="s">
        <v>548</v>
      </c>
    </row>
    <row r="2" spans="1:12" ht="18.95" customHeight="1">
      <c r="A2" s="16"/>
      <c r="B2" s="395" t="s">
        <v>37</v>
      </c>
      <c r="C2" s="395"/>
      <c r="D2" s="395" t="s">
        <v>38</v>
      </c>
      <c r="E2" s="395"/>
      <c r="F2" s="395" t="s">
        <v>39</v>
      </c>
      <c r="G2" s="395"/>
      <c r="H2" s="395" t="s">
        <v>40</v>
      </c>
      <c r="I2" s="395"/>
      <c r="J2" s="395" t="s">
        <v>41</v>
      </c>
      <c r="K2" s="395"/>
    </row>
    <row r="3" spans="1:12" ht="18.95" customHeight="1">
      <c r="A3" s="4"/>
      <c r="B3" s="8" t="s">
        <v>76</v>
      </c>
      <c r="C3" s="8" t="s">
        <v>60</v>
      </c>
      <c r="D3" s="8" t="s">
        <v>76</v>
      </c>
      <c r="E3" s="8" t="s">
        <v>60</v>
      </c>
      <c r="F3" s="8" t="s">
        <v>76</v>
      </c>
      <c r="G3" s="8" t="s">
        <v>60</v>
      </c>
      <c r="H3" s="8" t="s">
        <v>76</v>
      </c>
      <c r="I3" s="8" t="s">
        <v>60</v>
      </c>
      <c r="J3" s="8" t="s">
        <v>76</v>
      </c>
      <c r="K3" s="8" t="s">
        <v>60</v>
      </c>
    </row>
    <row r="4" spans="1:12" ht="18.95" customHeight="1">
      <c r="A4" s="24" t="s">
        <v>48</v>
      </c>
      <c r="B4" s="142">
        <v>2105</v>
      </c>
      <c r="C4" s="143">
        <f>SUM(C5:C11)</f>
        <v>99.999999999999986</v>
      </c>
      <c r="D4" s="142">
        <v>2076</v>
      </c>
      <c r="E4" s="143">
        <f>SUM(E5:E11)</f>
        <v>100.00000000000001</v>
      </c>
      <c r="F4" s="142">
        <v>1386</v>
      </c>
      <c r="G4" s="143">
        <f>SUM(G5:G11)</f>
        <v>99.999999999999972</v>
      </c>
      <c r="H4" s="142">
        <v>835</v>
      </c>
      <c r="I4" s="143">
        <f>SUM(I5:I11)</f>
        <v>99.999999999999986</v>
      </c>
      <c r="J4" s="142">
        <v>675</v>
      </c>
      <c r="K4" s="143">
        <f>SUM(K5:K11)</f>
        <v>100</v>
      </c>
    </row>
    <row r="5" spans="1:12" ht="18.95" customHeight="1">
      <c r="A5" s="24" t="s">
        <v>96</v>
      </c>
      <c r="B5" s="18">
        <v>866</v>
      </c>
      <c r="C5" s="19">
        <f>IFERROR(B5/B$4*100,"-")</f>
        <v>41.140142517814724</v>
      </c>
      <c r="D5" s="18">
        <v>894</v>
      </c>
      <c r="E5" s="19">
        <f>IFERROR(D5/D$4*100,"-")</f>
        <v>43.063583815028899</v>
      </c>
      <c r="F5" s="18">
        <v>596</v>
      </c>
      <c r="G5" s="19">
        <f>IFERROR(F5/F$4*100,"-")</f>
        <v>43.001443001443</v>
      </c>
      <c r="H5" s="18">
        <v>381</v>
      </c>
      <c r="I5" s="19">
        <f>IFERROR(H5/H$4*100,"-")</f>
        <v>45.628742514970064</v>
      </c>
      <c r="J5" s="18">
        <v>312</v>
      </c>
      <c r="K5" s="19">
        <f>IFERROR(J5/J$4*100,"-")</f>
        <v>46.222222222222221</v>
      </c>
    </row>
    <row r="6" spans="1:12" ht="18.95" customHeight="1">
      <c r="A6" s="24" t="s">
        <v>97</v>
      </c>
      <c r="B6" s="18">
        <v>781</v>
      </c>
      <c r="C6" s="19">
        <f t="shared" ref="C6:C11" si="0">IFERROR(B6/B$4*100,"-")</f>
        <v>37.102137767220903</v>
      </c>
      <c r="D6" s="18">
        <v>728</v>
      </c>
      <c r="E6" s="19">
        <f t="shared" ref="E6:E11" si="1">IFERROR(D6/D$4*100,"-")</f>
        <v>35.067437379576106</v>
      </c>
      <c r="F6" s="18">
        <v>487</v>
      </c>
      <c r="G6" s="19">
        <f t="shared" ref="G6:G11" si="2">IFERROR(F6/F$4*100,"-")</f>
        <v>35.137085137085137</v>
      </c>
      <c r="H6" s="18">
        <v>272</v>
      </c>
      <c r="I6" s="19">
        <f t="shared" ref="I6:I11" si="3">IFERROR(H6/H$4*100,"-")</f>
        <v>32.574850299401199</v>
      </c>
      <c r="J6" s="18">
        <v>217</v>
      </c>
      <c r="K6" s="19">
        <f t="shared" ref="K6:K11" si="4">IFERROR(J6/J$4*100,"-")</f>
        <v>32.148148148148145</v>
      </c>
    </row>
    <row r="7" spans="1:12" ht="18.95" customHeight="1">
      <c r="A7" s="24" t="s">
        <v>98</v>
      </c>
      <c r="B7" s="18">
        <v>175</v>
      </c>
      <c r="C7" s="19">
        <f>IFERROR(B7/B$4*100,"-")</f>
        <v>8.31353919239905</v>
      </c>
      <c r="D7" s="18">
        <v>136</v>
      </c>
      <c r="E7" s="19">
        <f>IFERROR(D7/D$4*100,"-")</f>
        <v>6.5510597302504818</v>
      </c>
      <c r="F7" s="18">
        <v>92</v>
      </c>
      <c r="G7" s="19">
        <f>IFERROR(F7/F$4*100,"-")</f>
        <v>6.637806637806638</v>
      </c>
      <c r="H7" s="18">
        <v>60</v>
      </c>
      <c r="I7" s="19">
        <f>IFERROR(H7/H$4*100,"-")</f>
        <v>7.1856287425149699</v>
      </c>
      <c r="J7" s="18">
        <v>45</v>
      </c>
      <c r="K7" s="19">
        <f t="shared" si="4"/>
        <v>6.666666666666667</v>
      </c>
    </row>
    <row r="8" spans="1:12" ht="18.95" customHeight="1">
      <c r="A8" s="24" t="s">
        <v>99</v>
      </c>
      <c r="B8" s="18">
        <v>110</v>
      </c>
      <c r="C8" s="19">
        <f t="shared" si="0"/>
        <v>5.225653206650831</v>
      </c>
      <c r="D8" s="18">
        <v>129</v>
      </c>
      <c r="E8" s="19">
        <f t="shared" si="1"/>
        <v>6.2138728323699421</v>
      </c>
      <c r="F8" s="18">
        <v>85</v>
      </c>
      <c r="G8" s="19">
        <f t="shared" si="2"/>
        <v>6.1327561327561328</v>
      </c>
      <c r="H8" s="18">
        <v>55</v>
      </c>
      <c r="I8" s="19">
        <f t="shared" si="3"/>
        <v>6.5868263473053901</v>
      </c>
      <c r="J8" s="18">
        <v>39</v>
      </c>
      <c r="K8" s="19">
        <f t="shared" si="4"/>
        <v>5.7777777777777777</v>
      </c>
    </row>
    <row r="9" spans="1:12" ht="18.95" customHeight="1">
      <c r="A9" s="24" t="s">
        <v>100</v>
      </c>
      <c r="B9" s="18">
        <v>48</v>
      </c>
      <c r="C9" s="19">
        <f t="shared" si="0"/>
        <v>2.2802850356294537</v>
      </c>
      <c r="D9" s="18">
        <v>53</v>
      </c>
      <c r="E9" s="19">
        <f t="shared" si="1"/>
        <v>2.5529865125240847</v>
      </c>
      <c r="F9" s="18">
        <v>31</v>
      </c>
      <c r="G9" s="19">
        <f t="shared" si="2"/>
        <v>2.2366522366522368</v>
      </c>
      <c r="H9" s="18">
        <v>16</v>
      </c>
      <c r="I9" s="19">
        <f t="shared" si="3"/>
        <v>1.9161676646706587</v>
      </c>
      <c r="J9" s="18">
        <v>18</v>
      </c>
      <c r="K9" s="19">
        <f t="shared" si="4"/>
        <v>2.666666666666667</v>
      </c>
    </row>
    <row r="10" spans="1:12" ht="18.95" customHeight="1">
      <c r="A10" s="24" t="s">
        <v>101</v>
      </c>
      <c r="B10" s="18">
        <v>8</v>
      </c>
      <c r="C10" s="19">
        <f t="shared" si="0"/>
        <v>0.38004750593824227</v>
      </c>
      <c r="D10" s="18">
        <v>19</v>
      </c>
      <c r="E10" s="19">
        <f t="shared" si="1"/>
        <v>0.91522157996146436</v>
      </c>
      <c r="F10" s="18">
        <v>10</v>
      </c>
      <c r="G10" s="19">
        <f t="shared" si="2"/>
        <v>0.72150072150072153</v>
      </c>
      <c r="H10" s="18">
        <v>5</v>
      </c>
      <c r="I10" s="19">
        <f t="shared" si="3"/>
        <v>0.5988023952095809</v>
      </c>
      <c r="J10" s="18">
        <v>5</v>
      </c>
      <c r="K10" s="19">
        <f t="shared" si="4"/>
        <v>0.74074074074074081</v>
      </c>
    </row>
    <row r="11" spans="1:12" ht="18.95" customHeight="1" thickBot="1">
      <c r="A11" s="37" t="s">
        <v>36</v>
      </c>
      <c r="B11" s="25">
        <v>117</v>
      </c>
      <c r="C11" s="27">
        <f t="shared" si="0"/>
        <v>5.5581947743467932</v>
      </c>
      <c r="D11" s="25">
        <v>117</v>
      </c>
      <c r="E11" s="27">
        <f t="shared" si="1"/>
        <v>5.6358381502890174</v>
      </c>
      <c r="F11" s="25">
        <v>85</v>
      </c>
      <c r="G11" s="27">
        <f t="shared" si="2"/>
        <v>6.1327561327561328</v>
      </c>
      <c r="H11" s="25">
        <v>46</v>
      </c>
      <c r="I11" s="27">
        <f t="shared" si="3"/>
        <v>5.5089820359281436</v>
      </c>
      <c r="J11" s="25">
        <v>39</v>
      </c>
      <c r="K11" s="27">
        <f t="shared" si="4"/>
        <v>5.7777777777777777</v>
      </c>
    </row>
    <row r="12" spans="1:12" ht="18.95" customHeight="1">
      <c r="A12" s="4"/>
      <c r="B12" s="474" t="s">
        <v>42</v>
      </c>
      <c r="C12" s="474"/>
      <c r="D12" s="474" t="s">
        <v>43</v>
      </c>
      <c r="E12" s="474"/>
      <c r="F12" s="474" t="s">
        <v>77</v>
      </c>
      <c r="G12" s="474"/>
      <c r="H12" s="474" t="s">
        <v>73</v>
      </c>
      <c r="I12" s="474"/>
      <c r="J12" s="474" t="s">
        <v>624</v>
      </c>
      <c r="K12" s="474"/>
    </row>
    <row r="13" spans="1:12" ht="18.95" customHeight="1">
      <c r="A13" s="4"/>
      <c r="B13" s="8" t="s">
        <v>76</v>
      </c>
      <c r="C13" s="8" t="s">
        <v>60</v>
      </c>
      <c r="D13" s="8" t="s">
        <v>76</v>
      </c>
      <c r="E13" s="8" t="s">
        <v>60</v>
      </c>
      <c r="F13" s="8" t="s">
        <v>76</v>
      </c>
      <c r="G13" s="8" t="s">
        <v>60</v>
      </c>
      <c r="H13" s="8" t="s">
        <v>76</v>
      </c>
      <c r="I13" s="8" t="s">
        <v>60</v>
      </c>
      <c r="J13" s="8" t="s">
        <v>76</v>
      </c>
      <c r="K13" s="8" t="s">
        <v>60</v>
      </c>
    </row>
    <row r="14" spans="1:12" ht="18.95" customHeight="1">
      <c r="A14" s="24" t="s">
        <v>48</v>
      </c>
      <c r="B14" s="142">
        <v>638</v>
      </c>
      <c r="C14" s="143">
        <f t="shared" ref="C14:H14" si="5">SUM(C15:C21)</f>
        <v>99.999999999999986</v>
      </c>
      <c r="D14" s="142">
        <f t="shared" si="5"/>
        <v>544</v>
      </c>
      <c r="E14" s="143">
        <f t="shared" si="5"/>
        <v>100.00000000000001</v>
      </c>
      <c r="F14" s="142">
        <f t="shared" si="5"/>
        <v>387</v>
      </c>
      <c r="G14" s="143">
        <f t="shared" si="5"/>
        <v>100</v>
      </c>
      <c r="H14" s="142">
        <f t="shared" si="5"/>
        <v>349</v>
      </c>
      <c r="I14" s="143">
        <f>SUM(I15:I21)</f>
        <v>100</v>
      </c>
      <c r="J14" s="142">
        <f>SUM(J15:J21)</f>
        <v>266</v>
      </c>
      <c r="K14" s="143">
        <f>SUM(K15:K21)</f>
        <v>100</v>
      </c>
    </row>
    <row r="15" spans="1:12" ht="18.95" customHeight="1">
      <c r="A15" s="24" t="s">
        <v>96</v>
      </c>
      <c r="B15" s="18">
        <v>281</v>
      </c>
      <c r="C15" s="19">
        <f t="shared" ref="C15:C21" si="6">IFERROR(B15/B$14*100,"-")</f>
        <v>44.043887147335425</v>
      </c>
      <c r="D15" s="18">
        <f>211+53</f>
        <v>264</v>
      </c>
      <c r="E15" s="19">
        <f t="shared" ref="E15:E21" si="7">IFERROR(D15/D$14*100,"-")</f>
        <v>48.529411764705884</v>
      </c>
      <c r="F15" s="18">
        <v>161</v>
      </c>
      <c r="G15" s="19">
        <f t="shared" ref="G15:G21" si="8">IFERROR(F15/F$14*100,"-")</f>
        <v>41.60206718346253</v>
      </c>
      <c r="H15" s="18">
        <v>147</v>
      </c>
      <c r="I15" s="19">
        <f>IFERROR(H15/H$14*100,"-")</f>
        <v>42.120343839541547</v>
      </c>
      <c r="J15" s="18">
        <f>97+15</f>
        <v>112</v>
      </c>
      <c r="K15" s="19">
        <f>IFERROR(J15/J$14*100,"-")</f>
        <v>42.105263157894733</v>
      </c>
    </row>
    <row r="16" spans="1:12" ht="18.95" customHeight="1">
      <c r="A16" s="24" t="s">
        <v>97</v>
      </c>
      <c r="B16" s="18">
        <v>210</v>
      </c>
      <c r="C16" s="19">
        <f t="shared" si="6"/>
        <v>32.915360501567399</v>
      </c>
      <c r="D16" s="18">
        <f>147+23</f>
        <v>170</v>
      </c>
      <c r="E16" s="19">
        <f t="shared" si="7"/>
        <v>31.25</v>
      </c>
      <c r="F16" s="18">
        <v>139</v>
      </c>
      <c r="G16" s="19">
        <f t="shared" si="8"/>
        <v>35.917312661498705</v>
      </c>
      <c r="H16" s="18">
        <v>123</v>
      </c>
      <c r="I16" s="19">
        <f t="shared" ref="I16:I21" si="9">IFERROR(H16/H$14*100,"-")</f>
        <v>35.243553008595988</v>
      </c>
      <c r="J16" s="18">
        <v>95</v>
      </c>
      <c r="K16" s="19">
        <f t="shared" ref="K16:K21" si="10">IFERROR(J16/J$14*100,"-")</f>
        <v>35.714285714285715</v>
      </c>
    </row>
    <row r="17" spans="1:11" ht="18.95" customHeight="1">
      <c r="A17" s="24" t="s">
        <v>98</v>
      </c>
      <c r="B17" s="18">
        <v>52</v>
      </c>
      <c r="C17" s="19">
        <f t="shared" si="6"/>
        <v>8.1504702194357357</v>
      </c>
      <c r="D17" s="18">
        <f>24+10</f>
        <v>34</v>
      </c>
      <c r="E17" s="19">
        <f t="shared" si="7"/>
        <v>6.25</v>
      </c>
      <c r="F17" s="18">
        <v>26</v>
      </c>
      <c r="G17" s="19">
        <f t="shared" si="8"/>
        <v>6.7183462532299743</v>
      </c>
      <c r="H17" s="18">
        <v>27</v>
      </c>
      <c r="I17" s="19">
        <f t="shared" si="9"/>
        <v>7.7363896848137532</v>
      </c>
      <c r="J17" s="18">
        <v>10</v>
      </c>
      <c r="K17" s="19">
        <f t="shared" si="10"/>
        <v>3.7593984962406015</v>
      </c>
    </row>
    <row r="18" spans="1:11" ht="18.95" customHeight="1">
      <c r="A18" s="24" t="s">
        <v>99</v>
      </c>
      <c r="B18" s="18">
        <v>37</v>
      </c>
      <c r="C18" s="19">
        <f t="shared" si="6"/>
        <v>5.7993730407523509</v>
      </c>
      <c r="D18" s="18">
        <f>23+6</f>
        <v>29</v>
      </c>
      <c r="E18" s="19">
        <f t="shared" si="7"/>
        <v>5.3308823529411766</v>
      </c>
      <c r="F18" s="18">
        <v>28</v>
      </c>
      <c r="G18" s="19">
        <f t="shared" si="8"/>
        <v>7.2351421188630489</v>
      </c>
      <c r="H18" s="18">
        <v>18</v>
      </c>
      <c r="I18" s="19">
        <f t="shared" si="9"/>
        <v>5.1575931232091694</v>
      </c>
      <c r="J18" s="18">
        <v>20</v>
      </c>
      <c r="K18" s="19">
        <f t="shared" si="10"/>
        <v>7.518796992481203</v>
      </c>
    </row>
    <row r="19" spans="1:11" ht="18.95" customHeight="1">
      <c r="A19" s="24" t="s">
        <v>100</v>
      </c>
      <c r="B19" s="18">
        <v>19</v>
      </c>
      <c r="C19" s="19">
        <f t="shared" si="6"/>
        <v>2.9780564263322882</v>
      </c>
      <c r="D19" s="18">
        <f>5+1</f>
        <v>6</v>
      </c>
      <c r="E19" s="19">
        <f t="shared" si="7"/>
        <v>1.1029411764705883</v>
      </c>
      <c r="F19" s="18">
        <v>5</v>
      </c>
      <c r="G19" s="19">
        <f t="shared" si="8"/>
        <v>1.2919896640826873</v>
      </c>
      <c r="H19" s="18">
        <v>11</v>
      </c>
      <c r="I19" s="19">
        <f t="shared" si="9"/>
        <v>3.151862464183381</v>
      </c>
      <c r="J19" s="18">
        <v>8</v>
      </c>
      <c r="K19" s="19">
        <f t="shared" si="10"/>
        <v>3.007518796992481</v>
      </c>
    </row>
    <row r="20" spans="1:11" ht="18.95" customHeight="1">
      <c r="A20" s="24" t="s">
        <v>101</v>
      </c>
      <c r="B20" s="18">
        <v>4</v>
      </c>
      <c r="C20" s="19">
        <f t="shared" si="6"/>
        <v>0.62695924764890276</v>
      </c>
      <c r="D20" s="18">
        <f>2+0</f>
        <v>2</v>
      </c>
      <c r="E20" s="19">
        <f t="shared" si="7"/>
        <v>0.36764705882352938</v>
      </c>
      <c r="F20" s="18">
        <v>3</v>
      </c>
      <c r="G20" s="19">
        <f t="shared" si="8"/>
        <v>0.77519379844961245</v>
      </c>
      <c r="H20" s="18">
        <v>1</v>
      </c>
      <c r="I20" s="19">
        <f t="shared" si="9"/>
        <v>0.28653295128939826</v>
      </c>
      <c r="J20" s="18">
        <v>1</v>
      </c>
      <c r="K20" s="19">
        <f t="shared" si="10"/>
        <v>0.37593984962406013</v>
      </c>
    </row>
    <row r="21" spans="1:11" ht="18.95" customHeight="1">
      <c r="A21" s="35" t="s">
        <v>36</v>
      </c>
      <c r="B21" s="22">
        <v>35</v>
      </c>
      <c r="C21" s="23">
        <f t="shared" si="6"/>
        <v>5.4858934169279001</v>
      </c>
      <c r="D21" s="22">
        <f>30+9</f>
        <v>39</v>
      </c>
      <c r="E21" s="23">
        <f t="shared" si="7"/>
        <v>7.1691176470588234</v>
      </c>
      <c r="F21" s="22">
        <v>25</v>
      </c>
      <c r="G21" s="23">
        <f t="shared" si="8"/>
        <v>6.459948320413436</v>
      </c>
      <c r="H21" s="22">
        <v>22</v>
      </c>
      <c r="I21" s="23">
        <f t="shared" si="9"/>
        <v>6.303724928366762</v>
      </c>
      <c r="J21" s="22">
        <v>20</v>
      </c>
      <c r="K21" s="23">
        <f t="shared" si="10"/>
        <v>7.518796992481203</v>
      </c>
    </row>
    <row r="22" spans="1:11" ht="45" customHeight="1">
      <c r="A22" s="496" t="s">
        <v>373</v>
      </c>
      <c r="B22" s="496"/>
      <c r="C22" s="496"/>
      <c r="D22" s="496"/>
      <c r="E22" s="496"/>
      <c r="F22" s="496"/>
      <c r="G22" s="496"/>
      <c r="H22" s="496"/>
      <c r="I22" s="496"/>
      <c r="J22" s="496"/>
      <c r="K22" s="496"/>
    </row>
  </sheetData>
  <sortState ref="A15:I20">
    <sortCondition descending="1" ref="H15:H20"/>
  </sortState>
  <mergeCells count="12">
    <mergeCell ref="A22:K22"/>
    <mergeCell ref="A1:K1"/>
    <mergeCell ref="B2:C2"/>
    <mergeCell ref="D2:E2"/>
    <mergeCell ref="F2:G2"/>
    <mergeCell ref="H2:I2"/>
    <mergeCell ref="B12:C12"/>
    <mergeCell ref="D12:E12"/>
    <mergeCell ref="F12:G12"/>
    <mergeCell ref="H12:I12"/>
    <mergeCell ref="J2:K2"/>
    <mergeCell ref="J12:K12"/>
  </mergeCells>
  <phoneticPr fontId="3" type="noConversion"/>
  <hyperlinks>
    <hyperlink ref="L1" location="本篇表次!A1" display="回本篇表次"/>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M22"/>
  <sheetViews>
    <sheetView showGridLines="0" zoomScale="120" zoomScaleNormal="120" workbookViewId="0">
      <selection sqref="A1:AF1"/>
    </sheetView>
  </sheetViews>
  <sheetFormatPr defaultColWidth="20.625" defaultRowHeight="16.5"/>
  <cols>
    <col min="1" max="1" width="5.375" customWidth="1"/>
    <col min="2" max="2" width="5.875" customWidth="1"/>
    <col min="3" max="3" width="6.375" customWidth="1"/>
    <col min="4" max="12" width="9.625" customWidth="1"/>
    <col min="13" max="13" width="12.75" bestFit="1" customWidth="1"/>
  </cols>
  <sheetData>
    <row r="1" spans="1:13" ht="24.95" customHeight="1">
      <c r="A1" s="513" t="s">
        <v>744</v>
      </c>
      <c r="B1" s="513"/>
      <c r="C1" s="513"/>
      <c r="D1" s="513"/>
      <c r="E1" s="513"/>
      <c r="F1" s="513"/>
      <c r="G1" s="513"/>
      <c r="H1" s="513"/>
      <c r="I1" s="513"/>
      <c r="J1" s="513"/>
      <c r="K1" s="513"/>
      <c r="L1" s="513"/>
      <c r="M1" s="242" t="s">
        <v>548</v>
      </c>
    </row>
    <row r="2" spans="1:13" ht="20.100000000000001" customHeight="1">
      <c r="A2" s="170"/>
      <c r="B2" s="514"/>
      <c r="C2" s="515"/>
      <c r="D2" s="169" t="s">
        <v>740</v>
      </c>
      <c r="E2" s="169" t="s">
        <v>741</v>
      </c>
      <c r="F2" s="169" t="s">
        <v>742</v>
      </c>
      <c r="G2" s="169" t="s">
        <v>743</v>
      </c>
      <c r="H2" s="169" t="s">
        <v>375</v>
      </c>
      <c r="I2" s="169" t="s">
        <v>163</v>
      </c>
      <c r="J2" s="169" t="s">
        <v>388</v>
      </c>
      <c r="K2" s="169" t="s">
        <v>45</v>
      </c>
      <c r="L2" s="169" t="s">
        <v>619</v>
      </c>
    </row>
    <row r="3" spans="1:13" ht="20.100000000000001" customHeight="1">
      <c r="A3" s="516" t="s">
        <v>387</v>
      </c>
      <c r="B3" s="517" t="s">
        <v>386</v>
      </c>
      <c r="C3" s="164" t="s">
        <v>380</v>
      </c>
      <c r="D3" s="168">
        <v>3625</v>
      </c>
      <c r="E3" s="168">
        <v>3380</v>
      </c>
      <c r="F3" s="168">
        <v>3079</v>
      </c>
      <c r="G3" s="168">
        <v>2565</v>
      </c>
      <c r="H3" s="168">
        <f t="shared" ref="H3:K4" si="0">SUM(H5,H7)</f>
        <v>2502</v>
      </c>
      <c r="I3" s="168">
        <f t="shared" si="0"/>
        <v>2749</v>
      </c>
      <c r="J3" s="168">
        <f t="shared" si="0"/>
        <v>2177</v>
      </c>
      <c r="K3" s="168">
        <f t="shared" si="0"/>
        <v>2132</v>
      </c>
      <c r="L3" s="168">
        <v>2479</v>
      </c>
    </row>
    <row r="4" spans="1:13" ht="20.100000000000001" customHeight="1">
      <c r="A4" s="516"/>
      <c r="B4" s="518"/>
      <c r="C4" s="166" t="s">
        <v>379</v>
      </c>
      <c r="D4" s="165">
        <v>100</v>
      </c>
      <c r="E4" s="165">
        <v>100</v>
      </c>
      <c r="F4" s="165">
        <v>100</v>
      </c>
      <c r="G4" s="165">
        <v>100</v>
      </c>
      <c r="H4" s="165">
        <f t="shared" si="0"/>
        <v>100</v>
      </c>
      <c r="I4" s="165">
        <f t="shared" si="0"/>
        <v>100</v>
      </c>
      <c r="J4" s="165">
        <f t="shared" si="0"/>
        <v>100</v>
      </c>
      <c r="K4" s="165">
        <f>SUM(K6,K8)</f>
        <v>100</v>
      </c>
      <c r="L4" s="165">
        <f>SUM(L6,L8)</f>
        <v>100.00000000000001</v>
      </c>
    </row>
    <row r="5" spans="1:13" ht="20.100000000000001" customHeight="1">
      <c r="A5" s="516"/>
      <c r="B5" s="518" t="s">
        <v>382</v>
      </c>
      <c r="C5" s="164" t="s">
        <v>380</v>
      </c>
      <c r="D5" s="163">
        <v>3064</v>
      </c>
      <c r="E5" s="163">
        <v>2892</v>
      </c>
      <c r="F5" s="163">
        <v>2705</v>
      </c>
      <c r="G5" s="163">
        <v>2263</v>
      </c>
      <c r="H5" s="163">
        <v>2236</v>
      </c>
      <c r="I5" s="163">
        <v>2496</v>
      </c>
      <c r="J5" s="163">
        <v>1965</v>
      </c>
      <c r="K5" s="163">
        <v>1944</v>
      </c>
      <c r="L5" s="163">
        <v>2279</v>
      </c>
    </row>
    <row r="6" spans="1:13" ht="20.100000000000001" customHeight="1">
      <c r="A6" s="516"/>
      <c r="B6" s="518"/>
      <c r="C6" s="166" t="s">
        <v>379</v>
      </c>
      <c r="D6" s="165">
        <v>84.524137931034488</v>
      </c>
      <c r="E6" s="165">
        <v>85.562130177514788</v>
      </c>
      <c r="F6" s="165">
        <v>87.853199090613828</v>
      </c>
      <c r="G6" s="165">
        <v>88.226120857699811</v>
      </c>
      <c r="H6" s="165">
        <f>IFERROR(H5/H$3*100,"-")</f>
        <v>89.368505195843326</v>
      </c>
      <c r="I6" s="165">
        <f>IFERROR(I5/I$3*100,"-")</f>
        <v>90.796653328483089</v>
      </c>
      <c r="J6" s="165">
        <f>IFERROR(J5/J$3*100,"-")</f>
        <v>90.261828203950387</v>
      </c>
      <c r="K6" s="165">
        <f>IFERROR(K5/K$3*100,"-")</f>
        <v>91.18198874296435</v>
      </c>
      <c r="L6" s="165">
        <f>IFERROR(L5/L$3*100,"-")</f>
        <v>91.9322307382009</v>
      </c>
    </row>
    <row r="7" spans="1:13" ht="20.100000000000001" customHeight="1">
      <c r="A7" s="516"/>
      <c r="B7" s="519" t="s">
        <v>381</v>
      </c>
      <c r="C7" s="164" t="s">
        <v>380</v>
      </c>
      <c r="D7" s="163">
        <v>561</v>
      </c>
      <c r="E7" s="163">
        <v>488</v>
      </c>
      <c r="F7" s="163">
        <v>374</v>
      </c>
      <c r="G7" s="163">
        <v>302</v>
      </c>
      <c r="H7" s="163">
        <v>266</v>
      </c>
      <c r="I7" s="163">
        <v>253</v>
      </c>
      <c r="J7" s="163">
        <v>212</v>
      </c>
      <c r="K7" s="163">
        <v>188</v>
      </c>
      <c r="L7" s="163">
        <v>200</v>
      </c>
    </row>
    <row r="8" spans="1:13" ht="20.100000000000001" customHeight="1">
      <c r="A8" s="516"/>
      <c r="B8" s="519"/>
      <c r="C8" s="166" t="s">
        <v>379</v>
      </c>
      <c r="D8" s="165">
        <v>15.475862068965519</v>
      </c>
      <c r="E8" s="165">
        <v>14.437869822485208</v>
      </c>
      <c r="F8" s="165">
        <v>12.146800909386164</v>
      </c>
      <c r="G8" s="165">
        <v>11.773879142300196</v>
      </c>
      <c r="H8" s="165">
        <f>IFERROR(H7/H$3*100,"-")</f>
        <v>10.631494804156674</v>
      </c>
      <c r="I8" s="165">
        <f>IFERROR(I7/I$3*100,"-")</f>
        <v>9.2033466715169148</v>
      </c>
      <c r="J8" s="165">
        <f>IFERROR(J7/J$3*100,"-")</f>
        <v>9.7381717960496097</v>
      </c>
      <c r="K8" s="165">
        <f>IFERROR(K7/K$3*100,"-")</f>
        <v>8.8180112570356481</v>
      </c>
      <c r="L8" s="165">
        <f>IFERROR(L7/L$3*100,"-")</f>
        <v>8.0677692617991124</v>
      </c>
    </row>
    <row r="9" spans="1:13" ht="20.100000000000001" customHeight="1">
      <c r="A9" s="521" t="s">
        <v>385</v>
      </c>
      <c r="B9" s="522" t="s">
        <v>383</v>
      </c>
      <c r="C9" s="164" t="s">
        <v>380</v>
      </c>
      <c r="D9" s="163">
        <v>3501</v>
      </c>
      <c r="E9" s="163">
        <v>3278</v>
      </c>
      <c r="F9" s="163">
        <v>2984</v>
      </c>
      <c r="G9" s="163">
        <v>2479</v>
      </c>
      <c r="H9" s="163">
        <v>2391</v>
      </c>
      <c r="I9" s="163">
        <v>2601</v>
      </c>
      <c r="J9" s="163">
        <v>2005</v>
      </c>
      <c r="K9" s="163">
        <v>1920</v>
      </c>
      <c r="L9" s="163">
        <v>2237</v>
      </c>
    </row>
    <row r="10" spans="1:13" ht="20.100000000000001" customHeight="1">
      <c r="A10" s="521"/>
      <c r="B10" s="518"/>
      <c r="C10" s="166" t="s">
        <v>379</v>
      </c>
      <c r="D10" s="165">
        <v>100</v>
      </c>
      <c r="E10" s="165">
        <v>100</v>
      </c>
      <c r="F10" s="165">
        <v>100</v>
      </c>
      <c r="G10" s="165">
        <v>100</v>
      </c>
      <c r="H10" s="165">
        <f>SUM(H12,H14)</f>
        <v>100</v>
      </c>
      <c r="I10" s="165">
        <f>SUM(I12,I14)</f>
        <v>100</v>
      </c>
      <c r="J10" s="165">
        <f>SUM(J12,J14)</f>
        <v>100</v>
      </c>
      <c r="K10" s="165">
        <f>SUM(K12,K14)</f>
        <v>100</v>
      </c>
      <c r="L10" s="165">
        <f>SUM(L12,L14)</f>
        <v>100</v>
      </c>
    </row>
    <row r="11" spans="1:13" ht="20.100000000000001" customHeight="1">
      <c r="A11" s="521"/>
      <c r="B11" s="518" t="s">
        <v>382</v>
      </c>
      <c r="C11" s="164" t="s">
        <v>380</v>
      </c>
      <c r="D11" s="163">
        <v>2954</v>
      </c>
      <c r="E11" s="163">
        <v>2795</v>
      </c>
      <c r="F11" s="163">
        <v>2624</v>
      </c>
      <c r="G11" s="163">
        <v>2194</v>
      </c>
      <c r="H11" s="163">
        <v>2133</v>
      </c>
      <c r="I11" s="163">
        <v>2359</v>
      </c>
      <c r="J11" s="163">
        <v>1806</v>
      </c>
      <c r="K11" s="163">
        <v>1737</v>
      </c>
      <c r="L11" s="163">
        <v>2051</v>
      </c>
    </row>
    <row r="12" spans="1:13" ht="20.100000000000001" customHeight="1">
      <c r="A12" s="521"/>
      <c r="B12" s="518"/>
      <c r="C12" s="166" t="s">
        <v>379</v>
      </c>
      <c r="D12" s="165">
        <v>84.37589260211368</v>
      </c>
      <c r="E12" s="165">
        <v>85.265405735204396</v>
      </c>
      <c r="F12" s="165">
        <v>87.935656836461135</v>
      </c>
      <c r="G12" s="165">
        <v>88.503428801936266</v>
      </c>
      <c r="H12" s="165">
        <f>IFERROR(H11/H$9*100,"-")</f>
        <v>89.20953575909661</v>
      </c>
      <c r="I12" s="165">
        <f>IFERROR(I11/I$9*100,"-")</f>
        <v>90.695886197616304</v>
      </c>
      <c r="J12" s="165">
        <f>IFERROR(J11/J$9*100,"-")</f>
        <v>90.074812967581053</v>
      </c>
      <c r="K12" s="165">
        <f>IFERROR(K11/K$9*100,"-")</f>
        <v>90.46875</v>
      </c>
      <c r="L12" s="165">
        <f>IFERROR(L11/L$9*100,"-")</f>
        <v>91.685292802860971</v>
      </c>
    </row>
    <row r="13" spans="1:13" ht="20.100000000000001" customHeight="1">
      <c r="A13" s="521"/>
      <c r="B13" s="519" t="s">
        <v>381</v>
      </c>
      <c r="C13" s="164" t="s">
        <v>380</v>
      </c>
      <c r="D13" s="163">
        <v>547</v>
      </c>
      <c r="E13" s="163">
        <v>483</v>
      </c>
      <c r="F13" s="163">
        <v>360</v>
      </c>
      <c r="G13" s="163">
        <v>285</v>
      </c>
      <c r="H13" s="163">
        <v>258</v>
      </c>
      <c r="I13" s="163">
        <v>242</v>
      </c>
      <c r="J13" s="163">
        <v>199</v>
      </c>
      <c r="K13" s="163">
        <v>183</v>
      </c>
      <c r="L13" s="163">
        <v>186</v>
      </c>
    </row>
    <row r="14" spans="1:13" ht="20.100000000000001" customHeight="1">
      <c r="A14" s="521"/>
      <c r="B14" s="519"/>
      <c r="C14" s="166" t="s">
        <v>379</v>
      </c>
      <c r="D14" s="165">
        <v>15.62410739788632</v>
      </c>
      <c r="E14" s="165">
        <v>14.734594264795605</v>
      </c>
      <c r="F14" s="165">
        <v>12.064343163538874</v>
      </c>
      <c r="G14" s="165">
        <v>11.496571198063736</v>
      </c>
      <c r="H14" s="165">
        <f>IFERROR(H13/H$9*100,"-")</f>
        <v>10.790464240903388</v>
      </c>
      <c r="I14" s="165">
        <f>IFERROR(I13/I$9*100,"-")</f>
        <v>9.3041138023836982</v>
      </c>
      <c r="J14" s="165">
        <f>IFERROR(J13/J$9*100,"-")</f>
        <v>9.9251870324189522</v>
      </c>
      <c r="K14" s="165">
        <f>IFERROR(K13/K$9*100,"-")</f>
        <v>9.53125</v>
      </c>
      <c r="L14" s="165">
        <f>IFERROR(L13/L$9*100,"-")</f>
        <v>8.3147071971390254</v>
      </c>
    </row>
    <row r="15" spans="1:13" ht="20.100000000000001" customHeight="1">
      <c r="A15" s="523" t="s">
        <v>384</v>
      </c>
      <c r="B15" s="522" t="s">
        <v>383</v>
      </c>
      <c r="C15" s="164" t="s">
        <v>380</v>
      </c>
      <c r="D15" s="163">
        <v>124</v>
      </c>
      <c r="E15" s="163">
        <v>102</v>
      </c>
      <c r="F15" s="163">
        <v>95</v>
      </c>
      <c r="G15" s="163">
        <v>86</v>
      </c>
      <c r="H15" s="163">
        <v>111</v>
      </c>
      <c r="I15" s="163">
        <v>148</v>
      </c>
      <c r="J15" s="163">
        <v>172</v>
      </c>
      <c r="K15" s="163">
        <v>212</v>
      </c>
      <c r="L15" s="163">
        <v>242</v>
      </c>
    </row>
    <row r="16" spans="1:13" ht="20.100000000000001" customHeight="1">
      <c r="A16" s="523"/>
      <c r="B16" s="518"/>
      <c r="C16" s="166" t="s">
        <v>379</v>
      </c>
      <c r="D16" s="167">
        <v>100</v>
      </c>
      <c r="E16" s="167">
        <v>100</v>
      </c>
      <c r="F16" s="167">
        <v>100</v>
      </c>
      <c r="G16" s="165">
        <v>100</v>
      </c>
      <c r="H16" s="167">
        <f>SUM(H18,H20)</f>
        <v>100</v>
      </c>
      <c r="I16" s="167">
        <f>SUM(I18,I20)</f>
        <v>100</v>
      </c>
      <c r="J16" s="167">
        <f>SUM(J18,J20)</f>
        <v>100</v>
      </c>
      <c r="K16" s="165">
        <f>SUM(K18,K20)</f>
        <v>99.999999999999986</v>
      </c>
      <c r="L16" s="165">
        <f>SUM(L18,L20)</f>
        <v>100</v>
      </c>
    </row>
    <row r="17" spans="1:12" ht="20.100000000000001" customHeight="1">
      <c r="A17" s="523"/>
      <c r="B17" s="518" t="s">
        <v>382</v>
      </c>
      <c r="C17" s="164" t="s">
        <v>380</v>
      </c>
      <c r="D17" s="163">
        <v>110</v>
      </c>
      <c r="E17" s="163">
        <v>97</v>
      </c>
      <c r="F17" s="163">
        <v>81</v>
      </c>
      <c r="G17" s="163">
        <v>69</v>
      </c>
      <c r="H17" s="163">
        <v>103</v>
      </c>
      <c r="I17" s="163">
        <v>137</v>
      </c>
      <c r="J17" s="163">
        <v>159</v>
      </c>
      <c r="K17" s="163">
        <v>207</v>
      </c>
      <c r="L17" s="163">
        <v>228</v>
      </c>
    </row>
    <row r="18" spans="1:12" ht="20.100000000000001" customHeight="1">
      <c r="A18" s="523"/>
      <c r="B18" s="518"/>
      <c r="C18" s="166" t="s">
        <v>379</v>
      </c>
      <c r="D18" s="165">
        <v>88.709677419354833</v>
      </c>
      <c r="E18" s="165">
        <v>95.098039215686271</v>
      </c>
      <c r="F18" s="165">
        <v>85.263157894736835</v>
      </c>
      <c r="G18" s="165">
        <v>80.232558139534888</v>
      </c>
      <c r="H18" s="165">
        <f>IFERROR(H17/H$15*100,"-")</f>
        <v>92.792792792792795</v>
      </c>
      <c r="I18" s="165">
        <f>IFERROR(I17/I$15*100,"-")</f>
        <v>92.567567567567565</v>
      </c>
      <c r="J18" s="165">
        <f>IFERROR(J17/J$15*100,"-")</f>
        <v>92.441860465116278</v>
      </c>
      <c r="K18" s="165">
        <f>IFERROR(K17/K$15*100,"-")</f>
        <v>97.641509433962256</v>
      </c>
      <c r="L18" s="165">
        <f>IFERROR(L17/L$15*100,"-")</f>
        <v>94.214876033057848</v>
      </c>
    </row>
    <row r="19" spans="1:12" ht="20.100000000000001" customHeight="1">
      <c r="A19" s="523"/>
      <c r="B19" s="519" t="s">
        <v>381</v>
      </c>
      <c r="C19" s="164" t="s">
        <v>380</v>
      </c>
      <c r="D19" s="163">
        <v>14</v>
      </c>
      <c r="E19" s="163">
        <v>5</v>
      </c>
      <c r="F19" s="163">
        <v>14</v>
      </c>
      <c r="G19" s="163">
        <v>17</v>
      </c>
      <c r="H19" s="163">
        <v>8</v>
      </c>
      <c r="I19" s="163">
        <v>11</v>
      </c>
      <c r="J19" s="163">
        <v>13</v>
      </c>
      <c r="K19" s="163">
        <v>5</v>
      </c>
      <c r="L19" s="163">
        <v>14</v>
      </c>
    </row>
    <row r="20" spans="1:12" ht="20.100000000000001" customHeight="1">
      <c r="A20" s="524"/>
      <c r="B20" s="525"/>
      <c r="C20" s="162" t="s">
        <v>379</v>
      </c>
      <c r="D20" s="161">
        <v>11.29032258064516</v>
      </c>
      <c r="E20" s="161">
        <v>4.9019607843137258</v>
      </c>
      <c r="F20" s="161">
        <v>14.736842105263156</v>
      </c>
      <c r="G20" s="161">
        <v>19.767441860465116</v>
      </c>
      <c r="H20" s="161">
        <f>IFERROR(H19/H$15*100,"-")</f>
        <v>7.2072072072072073</v>
      </c>
      <c r="I20" s="161">
        <f>IFERROR(I19/I$15*100,"-")</f>
        <v>7.4324324324324325</v>
      </c>
      <c r="J20" s="161">
        <f>IFERROR(J19/J$15*100,"-")</f>
        <v>7.5581395348837201</v>
      </c>
      <c r="K20" s="161">
        <f>IFERROR(K19/K$15*100,"-")</f>
        <v>2.358490566037736</v>
      </c>
      <c r="L20" s="161">
        <f>IFERROR(L19/L$15*100,"-")</f>
        <v>5.785123966942149</v>
      </c>
    </row>
    <row r="21" spans="1:12" s="157" customFormat="1" ht="14.25">
      <c r="A21" s="160" t="s">
        <v>378</v>
      </c>
      <c r="C21" s="159"/>
      <c r="D21" s="159"/>
      <c r="E21" s="159"/>
      <c r="F21" s="159"/>
      <c r="G21" s="159"/>
      <c r="H21" s="158"/>
    </row>
    <row r="22" spans="1:12" s="157" customFormat="1" ht="37.5" customHeight="1">
      <c r="A22" s="520" t="s">
        <v>745</v>
      </c>
      <c r="B22" s="520"/>
      <c r="C22" s="520"/>
      <c r="D22" s="520"/>
      <c r="E22" s="520"/>
      <c r="F22" s="520"/>
      <c r="G22" s="520"/>
      <c r="H22" s="520"/>
      <c r="I22" s="520"/>
      <c r="J22" s="520"/>
      <c r="K22" s="520"/>
      <c r="L22" s="520"/>
    </row>
  </sheetData>
  <mergeCells count="15">
    <mergeCell ref="A22:L22"/>
    <mergeCell ref="A9:A14"/>
    <mergeCell ref="B9:B10"/>
    <mergeCell ref="B11:B12"/>
    <mergeCell ref="B13:B14"/>
    <mergeCell ref="A15:A20"/>
    <mergeCell ref="B15:B16"/>
    <mergeCell ref="B17:B18"/>
    <mergeCell ref="B19:B20"/>
    <mergeCell ref="A1:L1"/>
    <mergeCell ref="B2:C2"/>
    <mergeCell ref="A3:A8"/>
    <mergeCell ref="B3:B4"/>
    <mergeCell ref="B5:B6"/>
    <mergeCell ref="B7:B8"/>
  </mergeCells>
  <phoneticPr fontId="2" type="noConversion"/>
  <hyperlinks>
    <hyperlink ref="M1" location="本篇表次!A1" display="回本篇表次"/>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G23"/>
  <sheetViews>
    <sheetView showGridLines="0" zoomScaleNormal="100" workbookViewId="0">
      <pane xSplit="2" ySplit="3" topLeftCell="C4" activePane="bottomRight" state="frozen"/>
      <selection sqref="A1:AE1"/>
      <selection pane="topRight" sqref="A1:AE1"/>
      <selection pane="bottomLeft" sqref="A1:AE1"/>
      <selection pane="bottomRight" sqref="A1:AE1"/>
    </sheetView>
  </sheetViews>
  <sheetFormatPr defaultColWidth="11.625" defaultRowHeight="16.5"/>
  <cols>
    <col min="1" max="1" width="18.375" bestFit="1" customWidth="1"/>
    <col min="2" max="2" width="5" bestFit="1" customWidth="1"/>
    <col min="3" max="32" width="8.125" customWidth="1"/>
    <col min="33" max="33" width="12.625" bestFit="1" customWidth="1"/>
  </cols>
  <sheetData>
    <row r="1" spans="1:33" ht="26.1" customHeight="1">
      <c r="A1" s="527" t="s">
        <v>746</v>
      </c>
      <c r="B1" s="527"/>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c r="AG1" s="242" t="s">
        <v>548</v>
      </c>
    </row>
    <row r="2" spans="1:33" ht="36" customHeight="1">
      <c r="A2" s="528"/>
      <c r="B2" s="528"/>
      <c r="C2" s="529" t="s">
        <v>739</v>
      </c>
      <c r="D2" s="529"/>
      <c r="E2" s="529"/>
      <c r="F2" s="529" t="s">
        <v>740</v>
      </c>
      <c r="G2" s="529"/>
      <c r="H2" s="529"/>
      <c r="I2" s="529" t="s">
        <v>741</v>
      </c>
      <c r="J2" s="529"/>
      <c r="K2" s="529"/>
      <c r="L2" s="529" t="s">
        <v>742</v>
      </c>
      <c r="M2" s="529"/>
      <c r="N2" s="529"/>
      <c r="O2" s="529" t="s">
        <v>743</v>
      </c>
      <c r="P2" s="529"/>
      <c r="Q2" s="529"/>
      <c r="R2" s="529" t="s">
        <v>375</v>
      </c>
      <c r="S2" s="529"/>
      <c r="T2" s="529"/>
      <c r="U2" s="529" t="s">
        <v>163</v>
      </c>
      <c r="V2" s="529"/>
      <c r="W2" s="529"/>
      <c r="X2" s="529" t="s">
        <v>388</v>
      </c>
      <c r="Y2" s="529"/>
      <c r="Z2" s="529"/>
      <c r="AA2" s="529" t="s">
        <v>45</v>
      </c>
      <c r="AB2" s="529"/>
      <c r="AC2" s="529"/>
      <c r="AD2" s="529" t="s">
        <v>619</v>
      </c>
      <c r="AE2" s="529"/>
      <c r="AF2" s="529"/>
    </row>
    <row r="3" spans="1:33" ht="36" customHeight="1">
      <c r="A3" s="526"/>
      <c r="B3" s="526"/>
      <c r="C3" s="162" t="s">
        <v>402</v>
      </c>
      <c r="D3" s="169" t="s">
        <v>401</v>
      </c>
      <c r="E3" s="169" t="s">
        <v>400</v>
      </c>
      <c r="F3" s="162" t="s">
        <v>402</v>
      </c>
      <c r="G3" s="169" t="s">
        <v>401</v>
      </c>
      <c r="H3" s="169" t="s">
        <v>400</v>
      </c>
      <c r="I3" s="162" t="s">
        <v>402</v>
      </c>
      <c r="J3" s="169" t="s">
        <v>401</v>
      </c>
      <c r="K3" s="169" t="s">
        <v>400</v>
      </c>
      <c r="L3" s="162" t="s">
        <v>402</v>
      </c>
      <c r="M3" s="169" t="s">
        <v>401</v>
      </c>
      <c r="N3" s="169" t="s">
        <v>400</v>
      </c>
      <c r="O3" s="162" t="s">
        <v>402</v>
      </c>
      <c r="P3" s="169" t="s">
        <v>401</v>
      </c>
      <c r="Q3" s="169" t="s">
        <v>400</v>
      </c>
      <c r="R3" s="162" t="s">
        <v>402</v>
      </c>
      <c r="S3" s="169" t="s">
        <v>401</v>
      </c>
      <c r="T3" s="169" t="s">
        <v>400</v>
      </c>
      <c r="U3" s="162" t="s">
        <v>402</v>
      </c>
      <c r="V3" s="169" t="s">
        <v>401</v>
      </c>
      <c r="W3" s="169" t="s">
        <v>400</v>
      </c>
      <c r="X3" s="162" t="s">
        <v>402</v>
      </c>
      <c r="Y3" s="169" t="s">
        <v>401</v>
      </c>
      <c r="Z3" s="169" t="s">
        <v>400</v>
      </c>
      <c r="AA3" s="162" t="s">
        <v>402</v>
      </c>
      <c r="AB3" s="169" t="s">
        <v>401</v>
      </c>
      <c r="AC3" s="169" t="s">
        <v>400</v>
      </c>
      <c r="AD3" s="162" t="s">
        <v>402</v>
      </c>
      <c r="AE3" s="169" t="s">
        <v>401</v>
      </c>
      <c r="AF3" s="169" t="s">
        <v>400</v>
      </c>
    </row>
    <row r="4" spans="1:33" ht="18.95" customHeight="1">
      <c r="A4" s="526" t="s">
        <v>399</v>
      </c>
      <c r="B4" s="175" t="s">
        <v>390</v>
      </c>
      <c r="C4" s="320">
        <v>3436</v>
      </c>
      <c r="D4" s="320">
        <v>2924</v>
      </c>
      <c r="E4" s="320">
        <v>512</v>
      </c>
      <c r="F4" s="320">
        <v>3625</v>
      </c>
      <c r="G4" s="320">
        <v>3064</v>
      </c>
      <c r="H4" s="320">
        <v>561</v>
      </c>
      <c r="I4" s="320">
        <v>3380</v>
      </c>
      <c r="J4" s="320">
        <v>2892</v>
      </c>
      <c r="K4" s="320">
        <v>488</v>
      </c>
      <c r="L4" s="320">
        <v>3079</v>
      </c>
      <c r="M4" s="320">
        <v>2705</v>
      </c>
      <c r="N4" s="320">
        <v>374</v>
      </c>
      <c r="O4" s="320">
        <v>2565</v>
      </c>
      <c r="P4" s="320">
        <v>2263</v>
      </c>
      <c r="Q4" s="320">
        <v>302</v>
      </c>
      <c r="R4" s="316">
        <f t="shared" ref="R4:AB4" si="0">SUM(R6,R8,R10,R12,R14,R16,R18,R20)</f>
        <v>2502</v>
      </c>
      <c r="S4" s="316">
        <f t="shared" si="0"/>
        <v>2236</v>
      </c>
      <c r="T4" s="316">
        <f t="shared" si="0"/>
        <v>266</v>
      </c>
      <c r="U4" s="316">
        <f t="shared" si="0"/>
        <v>2749</v>
      </c>
      <c r="V4" s="316">
        <f t="shared" si="0"/>
        <v>2496</v>
      </c>
      <c r="W4" s="316">
        <f t="shared" si="0"/>
        <v>253</v>
      </c>
      <c r="X4" s="316">
        <f t="shared" si="0"/>
        <v>2177</v>
      </c>
      <c r="Y4" s="316">
        <f t="shared" si="0"/>
        <v>1965</v>
      </c>
      <c r="Z4" s="316">
        <f t="shared" si="0"/>
        <v>212</v>
      </c>
      <c r="AA4" s="316">
        <f t="shared" si="0"/>
        <v>2132</v>
      </c>
      <c r="AB4" s="316">
        <f t="shared" si="0"/>
        <v>1944</v>
      </c>
      <c r="AC4" s="316">
        <f>SUM(AC6,AC8,AC10,AC12,AC14,AC16,AC18,AC20)</f>
        <v>188</v>
      </c>
      <c r="AD4" s="316">
        <f>SUM(AD6,AD8,AD10,AD12,AD14,AD16,AD18,AD20)</f>
        <v>2479</v>
      </c>
      <c r="AE4" s="316">
        <v>2279</v>
      </c>
      <c r="AF4" s="316">
        <v>200</v>
      </c>
    </row>
    <row r="5" spans="1:33" ht="18.95" customHeight="1">
      <c r="A5" s="526"/>
      <c r="B5" s="177" t="s">
        <v>75</v>
      </c>
      <c r="C5" s="321">
        <v>100</v>
      </c>
      <c r="D5" s="321">
        <v>100</v>
      </c>
      <c r="E5" s="321">
        <v>100</v>
      </c>
      <c r="F5" s="321">
        <v>100</v>
      </c>
      <c r="G5" s="321">
        <v>100</v>
      </c>
      <c r="H5" s="321">
        <v>100</v>
      </c>
      <c r="I5" s="321">
        <v>100</v>
      </c>
      <c r="J5" s="321">
        <v>100</v>
      </c>
      <c r="K5" s="321">
        <v>100</v>
      </c>
      <c r="L5" s="321">
        <v>100</v>
      </c>
      <c r="M5" s="321">
        <v>100</v>
      </c>
      <c r="N5" s="321">
        <v>100</v>
      </c>
      <c r="O5" s="321">
        <v>100</v>
      </c>
      <c r="P5" s="321">
        <v>100</v>
      </c>
      <c r="Q5" s="321">
        <v>100</v>
      </c>
      <c r="R5" s="317">
        <f t="shared" ref="R5:AB5" si="1">SUM(R7,R9,R11,R13,R15,R17,R19,R21)</f>
        <v>100</v>
      </c>
      <c r="S5" s="317">
        <f t="shared" si="1"/>
        <v>100</v>
      </c>
      <c r="T5" s="317">
        <f t="shared" si="1"/>
        <v>99.999999999999986</v>
      </c>
      <c r="U5" s="317">
        <f t="shared" si="1"/>
        <v>100</v>
      </c>
      <c r="V5" s="317">
        <f t="shared" si="1"/>
        <v>100</v>
      </c>
      <c r="W5" s="317">
        <f t="shared" si="1"/>
        <v>100</v>
      </c>
      <c r="X5" s="317">
        <f t="shared" si="1"/>
        <v>100</v>
      </c>
      <c r="Y5" s="317">
        <f t="shared" si="1"/>
        <v>100</v>
      </c>
      <c r="Z5" s="317">
        <f t="shared" si="1"/>
        <v>100</v>
      </c>
      <c r="AA5" s="317">
        <f t="shared" si="1"/>
        <v>99.999999999999986</v>
      </c>
      <c r="AB5" s="317">
        <f t="shared" si="1"/>
        <v>100</v>
      </c>
      <c r="AC5" s="317">
        <f>SUM(AC7,AC9,AC11,AC13,AC15,AC17,AC19,AC21)</f>
        <v>99.999999999999986</v>
      </c>
      <c r="AD5" s="317">
        <f>SUM(AD7,AD9,AD11,AD13,AD15,AD17,AD19,AD21)</f>
        <v>99.999999999999986</v>
      </c>
      <c r="AE5" s="317">
        <f>SUM(AE7,AE9,AE11,AE13,AE15,AE17,AE19,AE21)</f>
        <v>100</v>
      </c>
      <c r="AF5" s="317">
        <f>SUM(AF7,AF9,AF11,AF13,AF15,AF17,AF19,AF21)</f>
        <v>100</v>
      </c>
    </row>
    <row r="6" spans="1:33" ht="18.95" customHeight="1">
      <c r="A6" s="526" t="s">
        <v>398</v>
      </c>
      <c r="B6" s="175" t="s">
        <v>390</v>
      </c>
      <c r="C6" s="320">
        <v>36</v>
      </c>
      <c r="D6" s="320">
        <v>35</v>
      </c>
      <c r="E6" s="320">
        <v>1</v>
      </c>
      <c r="F6" s="320">
        <v>21</v>
      </c>
      <c r="G6" s="320">
        <v>14</v>
      </c>
      <c r="H6" s="320">
        <v>7</v>
      </c>
      <c r="I6" s="320">
        <v>15</v>
      </c>
      <c r="J6" s="320">
        <v>13</v>
      </c>
      <c r="K6" s="320">
        <v>2</v>
      </c>
      <c r="L6" s="320">
        <v>17</v>
      </c>
      <c r="M6" s="320">
        <v>17</v>
      </c>
      <c r="N6" s="320">
        <v>0</v>
      </c>
      <c r="O6" s="320">
        <v>11</v>
      </c>
      <c r="P6" s="320">
        <v>10</v>
      </c>
      <c r="Q6" s="320">
        <v>1</v>
      </c>
      <c r="R6" s="315">
        <v>4</v>
      </c>
      <c r="S6" s="315">
        <v>4</v>
      </c>
      <c r="T6" s="315">
        <v>0</v>
      </c>
      <c r="U6" s="315">
        <v>2</v>
      </c>
      <c r="V6" s="315">
        <v>1</v>
      </c>
      <c r="W6" s="315">
        <v>1</v>
      </c>
      <c r="X6" s="315" t="s">
        <v>220</v>
      </c>
      <c r="Y6" s="315">
        <v>0</v>
      </c>
      <c r="Z6" s="315">
        <v>0</v>
      </c>
      <c r="AA6" s="315" t="s">
        <v>49</v>
      </c>
      <c r="AB6" s="315" t="s">
        <v>49</v>
      </c>
      <c r="AC6" s="315" t="s">
        <v>49</v>
      </c>
      <c r="AD6" s="315">
        <v>0</v>
      </c>
      <c r="AE6" s="315">
        <v>0</v>
      </c>
      <c r="AF6" s="315">
        <v>0</v>
      </c>
    </row>
    <row r="7" spans="1:33" ht="18.95" customHeight="1">
      <c r="A7" s="526"/>
      <c r="B7" s="177" t="s">
        <v>75</v>
      </c>
      <c r="C7" s="321">
        <v>1.0477299185098952</v>
      </c>
      <c r="D7" s="321">
        <v>1.1969904240766074</v>
      </c>
      <c r="E7" s="321">
        <v>0.1953125</v>
      </c>
      <c r="F7" s="321">
        <v>0.57931034482758614</v>
      </c>
      <c r="G7" s="321">
        <v>0.45691906005221933</v>
      </c>
      <c r="H7" s="321">
        <v>1.2477718360071302</v>
      </c>
      <c r="I7" s="321">
        <v>0.4437869822485207</v>
      </c>
      <c r="J7" s="321">
        <v>0.44951590594744117</v>
      </c>
      <c r="K7" s="321">
        <v>0.4098360655737705</v>
      </c>
      <c r="L7" s="321">
        <v>0.55212731406300741</v>
      </c>
      <c r="M7" s="321">
        <v>0.6284658040665434</v>
      </c>
      <c r="N7" s="320">
        <v>0</v>
      </c>
      <c r="O7" s="321">
        <v>0.42884990253411304</v>
      </c>
      <c r="P7" s="321">
        <v>0.44189129474149363</v>
      </c>
      <c r="Q7" s="321">
        <v>0.33112582781456956</v>
      </c>
      <c r="R7" s="317">
        <f t="shared" ref="R7:AC7" si="2">IFERROR(IF(R6=0,"-",R6/R$4*100),"-")</f>
        <v>0.15987210231814547</v>
      </c>
      <c r="S7" s="317">
        <f t="shared" si="2"/>
        <v>0.17889087656529518</v>
      </c>
      <c r="T7" s="317" t="str">
        <f t="shared" si="2"/>
        <v>-</v>
      </c>
      <c r="U7" s="317">
        <f t="shared" si="2"/>
        <v>7.275372862859221E-2</v>
      </c>
      <c r="V7" s="317">
        <f t="shared" si="2"/>
        <v>4.0064102564102561E-2</v>
      </c>
      <c r="W7" s="317">
        <f t="shared" si="2"/>
        <v>0.39525691699604742</v>
      </c>
      <c r="X7" s="317" t="str">
        <f t="shared" si="2"/>
        <v>-</v>
      </c>
      <c r="Y7" s="317" t="str">
        <f t="shared" si="2"/>
        <v>-</v>
      </c>
      <c r="Z7" s="317" t="str">
        <f t="shared" si="2"/>
        <v>-</v>
      </c>
      <c r="AA7" s="317" t="str">
        <f t="shared" si="2"/>
        <v>-</v>
      </c>
      <c r="AB7" s="317" t="str">
        <f>IFERROR(IF(AB6=0,"-",AB6/AB$4*100),"-")</f>
        <v>-</v>
      </c>
      <c r="AC7" s="317" t="str">
        <f t="shared" si="2"/>
        <v>-</v>
      </c>
      <c r="AD7" s="317" t="str">
        <f>IFERROR(IF(AD6=0,"-",AD6/AD$4*100),"-")</f>
        <v>-</v>
      </c>
      <c r="AE7" s="317" t="str">
        <f>IFERROR(IF(AE6=0,"-",AE6/AE$4*100),"-")</f>
        <v>-</v>
      </c>
      <c r="AF7" s="317" t="str">
        <f>IFERROR(IF(AF6=0,"-",AF6/AF$4*100),"-")</f>
        <v>-</v>
      </c>
    </row>
    <row r="8" spans="1:33" ht="18.95" customHeight="1">
      <c r="A8" s="526" t="s">
        <v>397</v>
      </c>
      <c r="B8" s="175" t="s">
        <v>390</v>
      </c>
      <c r="C8" s="320">
        <v>59</v>
      </c>
      <c r="D8" s="320">
        <v>46</v>
      </c>
      <c r="E8" s="320">
        <v>13</v>
      </c>
      <c r="F8" s="320">
        <v>55</v>
      </c>
      <c r="G8" s="320">
        <v>49</v>
      </c>
      <c r="H8" s="320">
        <v>6</v>
      </c>
      <c r="I8" s="320">
        <v>42</v>
      </c>
      <c r="J8" s="320">
        <v>38</v>
      </c>
      <c r="K8" s="320">
        <v>4</v>
      </c>
      <c r="L8" s="320">
        <v>50</v>
      </c>
      <c r="M8" s="320">
        <v>43</v>
      </c>
      <c r="N8" s="320">
        <v>7</v>
      </c>
      <c r="O8" s="320">
        <v>27</v>
      </c>
      <c r="P8" s="320">
        <v>26</v>
      </c>
      <c r="Q8" s="320">
        <v>1</v>
      </c>
      <c r="R8" s="315">
        <v>27</v>
      </c>
      <c r="S8" s="315">
        <v>22</v>
      </c>
      <c r="T8" s="315">
        <v>5</v>
      </c>
      <c r="U8" s="315">
        <v>28</v>
      </c>
      <c r="V8" s="315">
        <v>24</v>
      </c>
      <c r="W8" s="315">
        <v>4</v>
      </c>
      <c r="X8" s="315">
        <v>13</v>
      </c>
      <c r="Y8" s="315">
        <v>10</v>
      </c>
      <c r="Z8" s="315">
        <v>3</v>
      </c>
      <c r="AA8" s="315">
        <v>10</v>
      </c>
      <c r="AB8" s="315">
        <v>8</v>
      </c>
      <c r="AC8" s="315">
        <v>2</v>
      </c>
      <c r="AD8" s="315">
        <v>12</v>
      </c>
      <c r="AE8" s="315">
        <v>8</v>
      </c>
      <c r="AF8" s="315">
        <v>4</v>
      </c>
    </row>
    <row r="9" spans="1:33" ht="18.95" customHeight="1">
      <c r="A9" s="526"/>
      <c r="B9" s="177" t="s">
        <v>75</v>
      </c>
      <c r="C9" s="321">
        <v>1.7171129220023285</v>
      </c>
      <c r="D9" s="321">
        <v>1.5731874145006839</v>
      </c>
      <c r="E9" s="321">
        <v>2.5390625</v>
      </c>
      <c r="F9" s="321">
        <v>1.5172413793103448</v>
      </c>
      <c r="G9" s="321">
        <v>1.5992167101827677</v>
      </c>
      <c r="H9" s="321">
        <v>1.0695187165775399</v>
      </c>
      <c r="I9" s="321">
        <v>1.2426035502958579</v>
      </c>
      <c r="J9" s="321">
        <v>1.313969571230982</v>
      </c>
      <c r="K9" s="321">
        <v>0.81967213114754101</v>
      </c>
      <c r="L9" s="321">
        <v>1.6239038648911983</v>
      </c>
      <c r="M9" s="321">
        <v>1.5896487985212568</v>
      </c>
      <c r="N9" s="321">
        <v>1.8716577540106951</v>
      </c>
      <c r="O9" s="321">
        <v>1.0526315789473684</v>
      </c>
      <c r="P9" s="321">
        <v>1.1489173663278833</v>
      </c>
      <c r="Q9" s="321">
        <v>0.33112582781456956</v>
      </c>
      <c r="R9" s="317">
        <f t="shared" ref="R9:AB9" si="3">IFERROR(IF(R8=0,"-",R8/R$4*100),"-")</f>
        <v>1.079136690647482</v>
      </c>
      <c r="S9" s="317">
        <f t="shared" si="3"/>
        <v>0.98389982110912344</v>
      </c>
      <c r="T9" s="317">
        <f t="shared" si="3"/>
        <v>1.8796992481203008</v>
      </c>
      <c r="U9" s="317">
        <f t="shared" si="3"/>
        <v>1.018552200800291</v>
      </c>
      <c r="V9" s="317">
        <f t="shared" si="3"/>
        <v>0.96153846153846156</v>
      </c>
      <c r="W9" s="317">
        <f t="shared" si="3"/>
        <v>1.5810276679841897</v>
      </c>
      <c r="X9" s="317">
        <f t="shared" si="3"/>
        <v>0.59715204409738176</v>
      </c>
      <c r="Y9" s="317">
        <f t="shared" si="3"/>
        <v>0.5089058524173028</v>
      </c>
      <c r="Z9" s="317">
        <f t="shared" si="3"/>
        <v>1.4150943396226416</v>
      </c>
      <c r="AA9" s="317">
        <f>IFERROR(IF(AA8=0,"-",AA8/AA$4*100),"-")</f>
        <v>0.46904315196998125</v>
      </c>
      <c r="AB9" s="317">
        <f t="shared" si="3"/>
        <v>0.41152263374485598</v>
      </c>
      <c r="AC9" s="317">
        <f>IFERROR(IF(AC8=0,"-",AC8/AC$4*100),"-")</f>
        <v>1.0638297872340425</v>
      </c>
      <c r="AD9" s="317">
        <f>IFERROR(IF(AD8=0,"-",AD8/AD$4*100),"-")</f>
        <v>0.4840661557079467</v>
      </c>
      <c r="AE9" s="317">
        <f>IFERROR(IF(AE8=0,"-",AE8/AE$4*100),"-")</f>
        <v>0.35103115401491886</v>
      </c>
      <c r="AF9" s="317">
        <f>IFERROR(IF(AF8=0,"-",AF8/AF$4*100),"-")</f>
        <v>2</v>
      </c>
    </row>
    <row r="10" spans="1:33" ht="18.95" customHeight="1">
      <c r="A10" s="526" t="s">
        <v>396</v>
      </c>
      <c r="B10" s="175" t="s">
        <v>390</v>
      </c>
      <c r="C10" s="320">
        <v>224</v>
      </c>
      <c r="D10" s="320">
        <v>180</v>
      </c>
      <c r="E10" s="320">
        <v>44</v>
      </c>
      <c r="F10" s="320">
        <v>201</v>
      </c>
      <c r="G10" s="320">
        <v>155</v>
      </c>
      <c r="H10" s="320">
        <v>46</v>
      </c>
      <c r="I10" s="320">
        <v>155</v>
      </c>
      <c r="J10" s="320">
        <v>123</v>
      </c>
      <c r="K10" s="320">
        <v>32</v>
      </c>
      <c r="L10" s="320">
        <v>152</v>
      </c>
      <c r="M10" s="320">
        <v>122</v>
      </c>
      <c r="N10" s="320">
        <v>30</v>
      </c>
      <c r="O10" s="320">
        <v>100</v>
      </c>
      <c r="P10" s="320">
        <v>84</v>
      </c>
      <c r="Q10" s="320">
        <v>16</v>
      </c>
      <c r="R10" s="315">
        <v>103</v>
      </c>
      <c r="S10" s="315">
        <v>85</v>
      </c>
      <c r="T10" s="315">
        <v>18</v>
      </c>
      <c r="U10" s="315">
        <v>116</v>
      </c>
      <c r="V10" s="315">
        <v>95</v>
      </c>
      <c r="W10" s="315">
        <v>21</v>
      </c>
      <c r="X10" s="315">
        <v>69</v>
      </c>
      <c r="Y10" s="315">
        <v>61</v>
      </c>
      <c r="Z10" s="315">
        <v>8</v>
      </c>
      <c r="AA10" s="315">
        <v>65</v>
      </c>
      <c r="AB10" s="315">
        <v>46</v>
      </c>
      <c r="AC10" s="315">
        <v>19</v>
      </c>
      <c r="AD10" s="315">
        <v>90</v>
      </c>
      <c r="AE10" s="315">
        <v>75</v>
      </c>
      <c r="AF10" s="315">
        <v>15</v>
      </c>
    </row>
    <row r="11" spans="1:33" ht="18.95" customHeight="1">
      <c r="A11" s="526"/>
      <c r="B11" s="177" t="s">
        <v>75</v>
      </c>
      <c r="C11" s="321">
        <v>6.5192083818393476</v>
      </c>
      <c r="D11" s="321">
        <v>6.1559507523939807</v>
      </c>
      <c r="E11" s="321">
        <v>8.59375</v>
      </c>
      <c r="F11" s="321">
        <v>5.5448275862068961</v>
      </c>
      <c r="G11" s="321">
        <v>5.0587467362924281</v>
      </c>
      <c r="H11" s="321">
        <v>8.1996434937611404</v>
      </c>
      <c r="I11" s="321">
        <v>4.5857988165680474</v>
      </c>
      <c r="J11" s="321">
        <v>4.2531120331950207</v>
      </c>
      <c r="K11" s="321">
        <v>6.557377049180328</v>
      </c>
      <c r="L11" s="321">
        <v>4.936667749269243</v>
      </c>
      <c r="M11" s="321">
        <v>4.5101663585951943</v>
      </c>
      <c r="N11" s="321">
        <v>8.0213903743315509</v>
      </c>
      <c r="O11" s="321">
        <v>3.8986354775828458</v>
      </c>
      <c r="P11" s="321">
        <v>3.7118868758285464</v>
      </c>
      <c r="Q11" s="321">
        <v>5.298013245033113</v>
      </c>
      <c r="R11" s="317">
        <f t="shared" ref="R11:AC11" si="4">IFERROR(IF(R10=0,"-",R10/R$4*100),"-")</f>
        <v>4.1167066346922461</v>
      </c>
      <c r="S11" s="317">
        <f t="shared" si="4"/>
        <v>3.8014311270125223</v>
      </c>
      <c r="T11" s="317">
        <f t="shared" si="4"/>
        <v>6.7669172932330826</v>
      </c>
      <c r="U11" s="317">
        <f t="shared" si="4"/>
        <v>4.2197162604583482</v>
      </c>
      <c r="V11" s="317">
        <f t="shared" si="4"/>
        <v>3.8060897435897432</v>
      </c>
      <c r="W11" s="317">
        <f t="shared" si="4"/>
        <v>8.3003952569169961</v>
      </c>
      <c r="X11" s="317">
        <f t="shared" si="4"/>
        <v>3.1694993109784102</v>
      </c>
      <c r="Y11" s="317">
        <f t="shared" si="4"/>
        <v>3.1043256997455471</v>
      </c>
      <c r="Z11" s="317">
        <f t="shared" si="4"/>
        <v>3.7735849056603774</v>
      </c>
      <c r="AA11" s="317">
        <f t="shared" si="4"/>
        <v>3.0487804878048781</v>
      </c>
      <c r="AB11" s="317">
        <f t="shared" si="4"/>
        <v>2.3662551440329218</v>
      </c>
      <c r="AC11" s="317">
        <f t="shared" si="4"/>
        <v>10.106382978723403</v>
      </c>
      <c r="AD11" s="317">
        <f>IFERROR(IF(AD10=0,"-",AD10/AD$4*100),"-")</f>
        <v>3.6304961678096008</v>
      </c>
      <c r="AE11" s="317">
        <f>IFERROR(IF(AE10=0,"-",AE10/AE$4*100),"-")</f>
        <v>3.2909170688898639</v>
      </c>
      <c r="AF11" s="317">
        <f>IFERROR(IF(AF10=0,"-",AF10/AF$4*100),"-")</f>
        <v>7.5</v>
      </c>
    </row>
    <row r="12" spans="1:33" ht="18.95" customHeight="1">
      <c r="A12" s="526" t="s">
        <v>395</v>
      </c>
      <c r="B12" s="175" t="s">
        <v>390</v>
      </c>
      <c r="C12" s="320">
        <v>433</v>
      </c>
      <c r="D12" s="320">
        <v>342</v>
      </c>
      <c r="E12" s="320">
        <v>91</v>
      </c>
      <c r="F12" s="320">
        <v>438</v>
      </c>
      <c r="G12" s="320">
        <v>339</v>
      </c>
      <c r="H12" s="320">
        <v>99</v>
      </c>
      <c r="I12" s="320">
        <v>376</v>
      </c>
      <c r="J12" s="320">
        <v>302</v>
      </c>
      <c r="K12" s="320">
        <v>74</v>
      </c>
      <c r="L12" s="320">
        <v>294</v>
      </c>
      <c r="M12" s="320">
        <v>244</v>
      </c>
      <c r="N12" s="320">
        <v>50</v>
      </c>
      <c r="O12" s="320">
        <v>263</v>
      </c>
      <c r="P12" s="320">
        <v>210</v>
      </c>
      <c r="Q12" s="320">
        <v>53</v>
      </c>
      <c r="R12" s="315">
        <v>290</v>
      </c>
      <c r="S12" s="315">
        <v>240</v>
      </c>
      <c r="T12" s="315">
        <v>50</v>
      </c>
      <c r="U12" s="315">
        <v>318</v>
      </c>
      <c r="V12" s="315">
        <v>262</v>
      </c>
      <c r="W12" s="315">
        <v>56</v>
      </c>
      <c r="X12" s="315">
        <v>207</v>
      </c>
      <c r="Y12" s="315">
        <v>177</v>
      </c>
      <c r="Z12" s="315">
        <v>30</v>
      </c>
      <c r="AA12" s="315">
        <v>221</v>
      </c>
      <c r="AB12" s="315">
        <v>185</v>
      </c>
      <c r="AC12" s="315">
        <v>36</v>
      </c>
      <c r="AD12" s="315">
        <v>222</v>
      </c>
      <c r="AE12" s="315">
        <v>193</v>
      </c>
      <c r="AF12" s="315">
        <v>29</v>
      </c>
    </row>
    <row r="13" spans="1:33" ht="18.95" customHeight="1">
      <c r="A13" s="526"/>
      <c r="B13" s="177" t="s">
        <v>75</v>
      </c>
      <c r="C13" s="321">
        <v>12.60186263096624</v>
      </c>
      <c r="D13" s="321">
        <v>11.696306429548564</v>
      </c>
      <c r="E13" s="321">
        <v>17.7734375</v>
      </c>
      <c r="F13" s="321">
        <v>12.082758620689656</v>
      </c>
      <c r="G13" s="321">
        <v>11.063968668407311</v>
      </c>
      <c r="H13" s="321">
        <v>17.647058823529413</v>
      </c>
      <c r="I13" s="321">
        <v>11.124260355029586</v>
      </c>
      <c r="J13" s="321">
        <v>10.442600276625173</v>
      </c>
      <c r="K13" s="321">
        <v>15.163934426229508</v>
      </c>
      <c r="L13" s="321">
        <v>9.5485547255602476</v>
      </c>
      <c r="M13" s="321">
        <v>9.0203327171903886</v>
      </c>
      <c r="N13" s="321">
        <v>13.368983957219251</v>
      </c>
      <c r="O13" s="321">
        <v>10.253411306042885</v>
      </c>
      <c r="P13" s="321">
        <v>9.2797171895713646</v>
      </c>
      <c r="Q13" s="321">
        <v>17.549668874172188</v>
      </c>
      <c r="R13" s="317">
        <f t="shared" ref="R13:AC13" si="5">IFERROR(IF(R12=0,"-",R12/R$4*100),"-")</f>
        <v>11.590727418065548</v>
      </c>
      <c r="S13" s="317">
        <f t="shared" si="5"/>
        <v>10.733452593917709</v>
      </c>
      <c r="T13" s="317">
        <f t="shared" si="5"/>
        <v>18.796992481203006</v>
      </c>
      <c r="U13" s="317">
        <f t="shared" si="5"/>
        <v>11.567842851946162</v>
      </c>
      <c r="V13" s="317">
        <f t="shared" si="5"/>
        <v>10.496794871794872</v>
      </c>
      <c r="W13" s="317">
        <f t="shared" si="5"/>
        <v>22.134387351778656</v>
      </c>
      <c r="X13" s="317">
        <f t="shared" si="5"/>
        <v>9.5084979329352315</v>
      </c>
      <c r="Y13" s="317">
        <f t="shared" si="5"/>
        <v>9.007633587786259</v>
      </c>
      <c r="Z13" s="317">
        <f t="shared" si="5"/>
        <v>14.150943396226415</v>
      </c>
      <c r="AA13" s="317">
        <f t="shared" si="5"/>
        <v>10.365853658536585</v>
      </c>
      <c r="AB13" s="317">
        <f t="shared" si="5"/>
        <v>9.5164609053497937</v>
      </c>
      <c r="AC13" s="317">
        <f t="shared" si="5"/>
        <v>19.148936170212767</v>
      </c>
      <c r="AD13" s="317">
        <f>IFERROR(IF(AD12=0,"-",AD12/AD$4*100),"-")</f>
        <v>8.9552238805970141</v>
      </c>
      <c r="AE13" s="317">
        <f>IFERROR(IF(AE12=0,"-",AE12/AE$4*100),"-")</f>
        <v>8.468626590609917</v>
      </c>
      <c r="AF13" s="317">
        <f>IFERROR(IF(AF12=0,"-",AF12/AF$4*100),"-")</f>
        <v>14.499999999999998</v>
      </c>
    </row>
    <row r="14" spans="1:33" ht="18.95" customHeight="1">
      <c r="A14" s="526" t="s">
        <v>394</v>
      </c>
      <c r="B14" s="175" t="s">
        <v>390</v>
      </c>
      <c r="C14" s="320">
        <v>496</v>
      </c>
      <c r="D14" s="320">
        <v>397</v>
      </c>
      <c r="E14" s="320">
        <v>99</v>
      </c>
      <c r="F14" s="320">
        <v>554</v>
      </c>
      <c r="G14" s="320">
        <v>446</v>
      </c>
      <c r="H14" s="320">
        <v>108</v>
      </c>
      <c r="I14" s="320">
        <v>600</v>
      </c>
      <c r="J14" s="320">
        <v>491</v>
      </c>
      <c r="K14" s="320">
        <v>109</v>
      </c>
      <c r="L14" s="320">
        <v>445</v>
      </c>
      <c r="M14" s="320">
        <v>376</v>
      </c>
      <c r="N14" s="320">
        <v>69</v>
      </c>
      <c r="O14" s="320">
        <v>360</v>
      </c>
      <c r="P14" s="320">
        <v>301</v>
      </c>
      <c r="Q14" s="320">
        <v>59</v>
      </c>
      <c r="R14" s="315">
        <v>402</v>
      </c>
      <c r="S14" s="315">
        <v>353</v>
      </c>
      <c r="T14" s="315">
        <v>49</v>
      </c>
      <c r="U14" s="315">
        <v>396</v>
      </c>
      <c r="V14" s="315">
        <v>363</v>
      </c>
      <c r="W14" s="315">
        <v>33</v>
      </c>
      <c r="X14" s="315">
        <v>363</v>
      </c>
      <c r="Y14" s="315">
        <v>302</v>
      </c>
      <c r="Z14" s="315">
        <v>61</v>
      </c>
      <c r="AA14" s="315">
        <v>345</v>
      </c>
      <c r="AB14" s="315">
        <v>315</v>
      </c>
      <c r="AC14" s="315">
        <v>30</v>
      </c>
      <c r="AD14" s="315">
        <v>405</v>
      </c>
      <c r="AE14" s="315">
        <v>360</v>
      </c>
      <c r="AF14" s="315">
        <v>45</v>
      </c>
    </row>
    <row r="15" spans="1:33" ht="18.95" customHeight="1">
      <c r="A15" s="526"/>
      <c r="B15" s="177" t="s">
        <v>75</v>
      </c>
      <c r="C15" s="321">
        <v>14.435389988358557</v>
      </c>
      <c r="D15" s="321">
        <v>13.577291381668946</v>
      </c>
      <c r="E15" s="321">
        <v>19.3359375</v>
      </c>
      <c r="F15" s="321">
        <v>15.282758620689654</v>
      </c>
      <c r="G15" s="321">
        <v>14.556135770234988</v>
      </c>
      <c r="H15" s="321">
        <v>19.251336898395721</v>
      </c>
      <c r="I15" s="321">
        <v>17.751479289940828</v>
      </c>
      <c r="J15" s="321">
        <v>16.977869986168741</v>
      </c>
      <c r="K15" s="321">
        <v>22.33606557377049</v>
      </c>
      <c r="L15" s="321">
        <v>14.452744397531667</v>
      </c>
      <c r="M15" s="321">
        <v>13.900184842883547</v>
      </c>
      <c r="N15" s="321">
        <v>18.449197860962567</v>
      </c>
      <c r="O15" s="321">
        <v>14.035087719298245</v>
      </c>
      <c r="P15" s="321">
        <v>13.300927971718956</v>
      </c>
      <c r="Q15" s="321">
        <v>19.536423841059602</v>
      </c>
      <c r="R15" s="317">
        <f t="shared" ref="R15:AC15" si="6">IFERROR(IF(R14=0,"-",R14/R$4*100),"-")</f>
        <v>16.067146282973621</v>
      </c>
      <c r="S15" s="317">
        <f t="shared" si="6"/>
        <v>15.787119856887299</v>
      </c>
      <c r="T15" s="317">
        <f t="shared" si="6"/>
        <v>18.421052631578945</v>
      </c>
      <c r="U15" s="317">
        <f t="shared" si="6"/>
        <v>14.405238268461259</v>
      </c>
      <c r="V15" s="317">
        <f t="shared" si="6"/>
        <v>14.543269230769232</v>
      </c>
      <c r="W15" s="317">
        <f t="shared" si="6"/>
        <v>13.043478260869565</v>
      </c>
      <c r="X15" s="317">
        <f t="shared" si="6"/>
        <v>16.674322462103813</v>
      </c>
      <c r="Y15" s="317">
        <f t="shared" si="6"/>
        <v>15.368956743002546</v>
      </c>
      <c r="Z15" s="317">
        <f t="shared" si="6"/>
        <v>28.773584905660378</v>
      </c>
      <c r="AA15" s="317">
        <f t="shared" si="6"/>
        <v>16.181988742964354</v>
      </c>
      <c r="AB15" s="317">
        <f t="shared" si="6"/>
        <v>16.203703703703702</v>
      </c>
      <c r="AC15" s="317">
        <f t="shared" si="6"/>
        <v>15.957446808510639</v>
      </c>
      <c r="AD15" s="317">
        <f>IFERROR(IF(AD14=0,"-",AD14/AD$4*100),"-")</f>
        <v>16.337232755143202</v>
      </c>
      <c r="AE15" s="317">
        <f>IFERROR(IF(AE14=0,"-",AE14/AE$4*100),"-")</f>
        <v>15.796401930671347</v>
      </c>
      <c r="AF15" s="317">
        <f>IFERROR(IF(AF14=0,"-",AF14/AF$4*100),"-")</f>
        <v>22.5</v>
      </c>
    </row>
    <row r="16" spans="1:33" ht="18.95" customHeight="1">
      <c r="A16" s="526" t="s">
        <v>393</v>
      </c>
      <c r="B16" s="175" t="s">
        <v>390</v>
      </c>
      <c r="C16" s="320">
        <v>726</v>
      </c>
      <c r="D16" s="320">
        <v>630</v>
      </c>
      <c r="E16" s="320">
        <v>96</v>
      </c>
      <c r="F16" s="320">
        <v>742</v>
      </c>
      <c r="G16" s="320">
        <v>633</v>
      </c>
      <c r="H16" s="320">
        <v>109</v>
      </c>
      <c r="I16" s="320">
        <v>738</v>
      </c>
      <c r="J16" s="320">
        <v>631</v>
      </c>
      <c r="K16" s="320">
        <v>107</v>
      </c>
      <c r="L16" s="320">
        <v>727</v>
      </c>
      <c r="M16" s="320">
        <v>655</v>
      </c>
      <c r="N16" s="320">
        <v>72</v>
      </c>
      <c r="O16" s="320">
        <v>545</v>
      </c>
      <c r="P16" s="320">
        <v>499</v>
      </c>
      <c r="Q16" s="320">
        <v>46</v>
      </c>
      <c r="R16" s="315">
        <v>542</v>
      </c>
      <c r="S16" s="315">
        <v>498</v>
      </c>
      <c r="T16" s="315">
        <v>44</v>
      </c>
      <c r="U16" s="315">
        <v>642</v>
      </c>
      <c r="V16" s="315">
        <v>579</v>
      </c>
      <c r="W16" s="315">
        <v>63</v>
      </c>
      <c r="X16" s="315">
        <v>511</v>
      </c>
      <c r="Y16" s="315">
        <v>467</v>
      </c>
      <c r="Z16" s="315">
        <v>44</v>
      </c>
      <c r="AA16" s="315">
        <v>467</v>
      </c>
      <c r="AB16" s="315">
        <v>425</v>
      </c>
      <c r="AC16" s="315">
        <v>42</v>
      </c>
      <c r="AD16" s="315">
        <v>658</v>
      </c>
      <c r="AE16" s="315">
        <v>616</v>
      </c>
      <c r="AF16" s="315">
        <v>42</v>
      </c>
    </row>
    <row r="17" spans="1:32" ht="18.95" customHeight="1">
      <c r="A17" s="526"/>
      <c r="B17" s="177" t="s">
        <v>75</v>
      </c>
      <c r="C17" s="321">
        <v>21.129220023282887</v>
      </c>
      <c r="D17" s="321">
        <v>21.545827633378934</v>
      </c>
      <c r="E17" s="321">
        <v>18.75</v>
      </c>
      <c r="F17" s="321">
        <v>20.468965517241379</v>
      </c>
      <c r="G17" s="321">
        <v>20.659268929503916</v>
      </c>
      <c r="H17" s="321">
        <v>19.429590017825312</v>
      </c>
      <c r="I17" s="321">
        <v>21.834319526627219</v>
      </c>
      <c r="J17" s="321">
        <v>21.81881051175657</v>
      </c>
      <c r="K17" s="321">
        <v>21.92622950819672</v>
      </c>
      <c r="L17" s="321">
        <v>23.611562195518026</v>
      </c>
      <c r="M17" s="321">
        <v>24.214417744916823</v>
      </c>
      <c r="N17" s="321">
        <v>19.251336898395721</v>
      </c>
      <c r="O17" s="321">
        <v>21.247563352826511</v>
      </c>
      <c r="P17" s="321">
        <v>22.050375607600532</v>
      </c>
      <c r="Q17" s="321">
        <v>15.231788079470199</v>
      </c>
      <c r="R17" s="317">
        <f t="shared" ref="R17:AC17" si="7">IFERROR(IF(R16=0,"-",R16/R$4*100),"-")</f>
        <v>21.662669864108715</v>
      </c>
      <c r="S17" s="317">
        <f t="shared" si="7"/>
        <v>22.271914132379248</v>
      </c>
      <c r="T17" s="317">
        <f t="shared" si="7"/>
        <v>16.541353383458645</v>
      </c>
      <c r="U17" s="317">
        <f t="shared" si="7"/>
        <v>23.353946889778101</v>
      </c>
      <c r="V17" s="317">
        <f t="shared" si="7"/>
        <v>23.197115384615387</v>
      </c>
      <c r="W17" s="317">
        <f t="shared" si="7"/>
        <v>24.901185770750988</v>
      </c>
      <c r="X17" s="317">
        <f t="shared" si="7"/>
        <v>23.472668810289392</v>
      </c>
      <c r="Y17" s="317">
        <f t="shared" si="7"/>
        <v>23.765903307888038</v>
      </c>
      <c r="Z17" s="317">
        <f t="shared" si="7"/>
        <v>20.754716981132077</v>
      </c>
      <c r="AA17" s="317">
        <f t="shared" si="7"/>
        <v>21.904315196998123</v>
      </c>
      <c r="AB17" s="317">
        <f t="shared" si="7"/>
        <v>21.862139917695472</v>
      </c>
      <c r="AC17" s="317">
        <f t="shared" si="7"/>
        <v>22.340425531914892</v>
      </c>
      <c r="AD17" s="317">
        <f>IFERROR(IF(AD16=0,"-",AD16/AD$4*100),"-")</f>
        <v>26.542960871319082</v>
      </c>
      <c r="AE17" s="317">
        <f>IFERROR(IF(AE16=0,"-",AE16/AE$4*100),"-")</f>
        <v>27.029398859148753</v>
      </c>
      <c r="AF17" s="317">
        <f>IFERROR(IF(AF16=0,"-",AF16/AF$4*100),"-")</f>
        <v>21</v>
      </c>
    </row>
    <row r="18" spans="1:32" ht="18.95" customHeight="1">
      <c r="A18" s="526" t="s">
        <v>392</v>
      </c>
      <c r="B18" s="175" t="s">
        <v>390</v>
      </c>
      <c r="C18" s="320">
        <v>964</v>
      </c>
      <c r="D18" s="320">
        <v>845</v>
      </c>
      <c r="E18" s="320">
        <v>119</v>
      </c>
      <c r="F18" s="320">
        <v>1050</v>
      </c>
      <c r="G18" s="320">
        <v>929</v>
      </c>
      <c r="H18" s="320">
        <v>121</v>
      </c>
      <c r="I18" s="320">
        <v>940</v>
      </c>
      <c r="J18" s="320">
        <v>832</v>
      </c>
      <c r="K18" s="320">
        <v>108</v>
      </c>
      <c r="L18" s="320">
        <v>925</v>
      </c>
      <c r="M18" s="320">
        <v>830</v>
      </c>
      <c r="N18" s="320">
        <v>95</v>
      </c>
      <c r="O18" s="320">
        <v>830</v>
      </c>
      <c r="P18" s="320">
        <v>751</v>
      </c>
      <c r="Q18" s="320">
        <v>79</v>
      </c>
      <c r="R18" s="315">
        <v>716</v>
      </c>
      <c r="S18" s="315">
        <v>657</v>
      </c>
      <c r="T18" s="315">
        <v>59</v>
      </c>
      <c r="U18" s="315">
        <v>817</v>
      </c>
      <c r="V18" s="315">
        <v>768</v>
      </c>
      <c r="W18" s="315">
        <v>49</v>
      </c>
      <c r="X18" s="315">
        <v>669</v>
      </c>
      <c r="Y18" s="315">
        <v>624</v>
      </c>
      <c r="Z18" s="315">
        <v>45</v>
      </c>
      <c r="AA18" s="315">
        <v>613</v>
      </c>
      <c r="AB18" s="315">
        <v>579</v>
      </c>
      <c r="AC18" s="315">
        <v>34</v>
      </c>
      <c r="AD18" s="315">
        <v>743</v>
      </c>
      <c r="AE18" s="315">
        <v>695</v>
      </c>
      <c r="AF18" s="315">
        <v>48</v>
      </c>
    </row>
    <row r="19" spans="1:32" ht="18.95" customHeight="1">
      <c r="A19" s="526"/>
      <c r="B19" s="177" t="s">
        <v>75</v>
      </c>
      <c r="C19" s="321">
        <v>28.055878928987195</v>
      </c>
      <c r="D19" s="321">
        <v>28.898768809849525</v>
      </c>
      <c r="E19" s="321">
        <v>23.2421875</v>
      </c>
      <c r="F19" s="321">
        <v>28.965517241379313</v>
      </c>
      <c r="G19" s="321">
        <v>30.319843342036553</v>
      </c>
      <c r="H19" s="321">
        <v>21.568627450980394</v>
      </c>
      <c r="I19" s="321">
        <v>27.810650887573964</v>
      </c>
      <c r="J19" s="321">
        <v>28.769017980636235</v>
      </c>
      <c r="K19" s="321">
        <v>22.131147540983605</v>
      </c>
      <c r="L19" s="321">
        <v>30.04222150048717</v>
      </c>
      <c r="M19" s="321">
        <v>30.683918669131238</v>
      </c>
      <c r="N19" s="321">
        <v>25.401069518716579</v>
      </c>
      <c r="O19" s="321">
        <v>32.358674463937618</v>
      </c>
      <c r="P19" s="321">
        <v>33.186036235086171</v>
      </c>
      <c r="Q19" s="321">
        <v>26.158940397350992</v>
      </c>
      <c r="R19" s="317">
        <f t="shared" ref="R19:AC19" si="8">IFERROR(IF(R18=0,"-",R18/R$4*100),"-")</f>
        <v>28.617106314948042</v>
      </c>
      <c r="S19" s="317">
        <f t="shared" si="8"/>
        <v>29.382826475849733</v>
      </c>
      <c r="T19" s="317">
        <f t="shared" si="8"/>
        <v>22.180451127819548</v>
      </c>
      <c r="U19" s="317">
        <f t="shared" si="8"/>
        <v>29.719898144779922</v>
      </c>
      <c r="V19" s="317">
        <f t="shared" si="8"/>
        <v>30.76923076923077</v>
      </c>
      <c r="W19" s="317">
        <f t="shared" si="8"/>
        <v>19.367588932806324</v>
      </c>
      <c r="X19" s="317">
        <f t="shared" si="8"/>
        <v>30.730362884703723</v>
      </c>
      <c r="Y19" s="317">
        <f t="shared" si="8"/>
        <v>31.755725190839694</v>
      </c>
      <c r="Z19" s="317">
        <f t="shared" si="8"/>
        <v>21.226415094339622</v>
      </c>
      <c r="AA19" s="317">
        <f t="shared" si="8"/>
        <v>28.752345215759849</v>
      </c>
      <c r="AB19" s="317">
        <f t="shared" si="8"/>
        <v>29.783950617283949</v>
      </c>
      <c r="AC19" s="317">
        <f t="shared" si="8"/>
        <v>18.085106382978726</v>
      </c>
      <c r="AD19" s="317">
        <f>IFERROR(IF(AD18=0,"-",AD18/AD$4*100),"-")</f>
        <v>29.971762807583701</v>
      </c>
      <c r="AE19" s="317">
        <f>IFERROR(IF(AE18=0,"-",AE18/AE$4*100),"-")</f>
        <v>30.495831505046073</v>
      </c>
      <c r="AF19" s="317">
        <f>IFERROR(IF(AF18=0,"-",AF18/AF$4*100),"-")</f>
        <v>24</v>
      </c>
    </row>
    <row r="20" spans="1:32" ht="18.95" customHeight="1">
      <c r="A20" s="526" t="s">
        <v>391</v>
      </c>
      <c r="B20" s="175" t="s">
        <v>390</v>
      </c>
      <c r="C20" s="320">
        <v>498</v>
      </c>
      <c r="D20" s="320">
        <v>449</v>
      </c>
      <c r="E20" s="320">
        <v>49</v>
      </c>
      <c r="F20" s="320">
        <v>564</v>
      </c>
      <c r="G20" s="320">
        <v>499</v>
      </c>
      <c r="H20" s="320">
        <v>65</v>
      </c>
      <c r="I20" s="320">
        <v>514</v>
      </c>
      <c r="J20" s="320">
        <v>462</v>
      </c>
      <c r="K20" s="320">
        <v>52</v>
      </c>
      <c r="L20" s="320">
        <v>469</v>
      </c>
      <c r="M20" s="320">
        <v>418</v>
      </c>
      <c r="N20" s="320">
        <v>51</v>
      </c>
      <c r="O20" s="320">
        <v>429</v>
      </c>
      <c r="P20" s="320">
        <v>382</v>
      </c>
      <c r="Q20" s="320">
        <v>47</v>
      </c>
      <c r="R20" s="315">
        <v>418</v>
      </c>
      <c r="S20" s="315">
        <v>377</v>
      </c>
      <c r="T20" s="315">
        <v>41</v>
      </c>
      <c r="U20" s="315">
        <v>430</v>
      </c>
      <c r="V20" s="315">
        <v>404</v>
      </c>
      <c r="W20" s="315">
        <v>26</v>
      </c>
      <c r="X20" s="315">
        <v>345</v>
      </c>
      <c r="Y20" s="315">
        <v>324</v>
      </c>
      <c r="Z20" s="315">
        <v>21</v>
      </c>
      <c r="AA20" s="315">
        <v>411</v>
      </c>
      <c r="AB20" s="315">
        <v>386</v>
      </c>
      <c r="AC20" s="315">
        <v>25</v>
      </c>
      <c r="AD20" s="315">
        <v>349</v>
      </c>
      <c r="AE20" s="315">
        <v>332</v>
      </c>
      <c r="AF20" s="315">
        <v>17</v>
      </c>
    </row>
    <row r="21" spans="1:32" ht="18.95" customHeight="1">
      <c r="A21" s="532"/>
      <c r="B21" s="173" t="s">
        <v>75</v>
      </c>
      <c r="C21" s="322">
        <v>14.493597206053552</v>
      </c>
      <c r="D21" s="322">
        <v>15.355677154582764</v>
      </c>
      <c r="E21" s="322">
        <v>9.5703125</v>
      </c>
      <c r="F21" s="322">
        <v>15.558620689655173</v>
      </c>
      <c r="G21" s="322">
        <v>16.285900783289815</v>
      </c>
      <c r="H21" s="322">
        <v>11.586452762923351</v>
      </c>
      <c r="I21" s="322">
        <v>15.207100591715978</v>
      </c>
      <c r="J21" s="322">
        <v>15.975103734439832</v>
      </c>
      <c r="K21" s="322">
        <v>10.655737704918032</v>
      </c>
      <c r="L21" s="322">
        <v>15.232218252679441</v>
      </c>
      <c r="M21" s="322">
        <v>15.452865064695009</v>
      </c>
      <c r="N21" s="322">
        <v>13.636363636363635</v>
      </c>
      <c r="O21" s="322">
        <v>16.725146198830409</v>
      </c>
      <c r="P21" s="322">
        <v>16.880247459125055</v>
      </c>
      <c r="Q21" s="322">
        <v>15.562913907284766</v>
      </c>
      <c r="R21" s="319">
        <f t="shared" ref="R21:AC21" si="9">IFERROR(IF(R20=0,"-",R20/R$4*100),"-")</f>
        <v>16.706634692246205</v>
      </c>
      <c r="S21" s="319">
        <f t="shared" si="9"/>
        <v>16.86046511627907</v>
      </c>
      <c r="T21" s="319">
        <f t="shared" si="9"/>
        <v>15.413533834586465</v>
      </c>
      <c r="U21" s="319">
        <f t="shared" si="9"/>
        <v>15.642051655147327</v>
      </c>
      <c r="V21" s="319">
        <f t="shared" si="9"/>
        <v>16.185897435897438</v>
      </c>
      <c r="W21" s="319">
        <f t="shared" si="9"/>
        <v>10.276679841897234</v>
      </c>
      <c r="X21" s="319">
        <f t="shared" si="9"/>
        <v>15.847496554892054</v>
      </c>
      <c r="Y21" s="319">
        <f t="shared" si="9"/>
        <v>16.488549618320612</v>
      </c>
      <c r="Z21" s="319">
        <f t="shared" si="9"/>
        <v>9.9056603773584904</v>
      </c>
      <c r="AA21" s="319">
        <f t="shared" si="9"/>
        <v>19.277673545966227</v>
      </c>
      <c r="AB21" s="319">
        <f t="shared" si="9"/>
        <v>19.855967078189302</v>
      </c>
      <c r="AC21" s="319">
        <f t="shared" si="9"/>
        <v>13.297872340425531</v>
      </c>
      <c r="AD21" s="319">
        <f>IFERROR(IF(AD20=0,"-",AD20/AD$4*100),"-")</f>
        <v>14.078257361839452</v>
      </c>
      <c r="AE21" s="319">
        <f>IFERROR(IF(AE20=0,"-",AE20/AE$4*100),"-")</f>
        <v>14.567792891619129</v>
      </c>
      <c r="AF21" s="319">
        <f>IFERROR(IF(AF20=0,"-",AF20/AF$4*100),"-")</f>
        <v>8.5</v>
      </c>
    </row>
    <row r="22" spans="1:32" ht="18" customHeight="1">
      <c r="A22" s="531" t="s">
        <v>389</v>
      </c>
      <c r="B22" s="531"/>
      <c r="C22" s="531"/>
      <c r="D22" s="531"/>
      <c r="E22" s="531"/>
      <c r="F22" s="531"/>
      <c r="G22" s="531"/>
      <c r="H22" s="531"/>
      <c r="I22" s="531"/>
      <c r="J22" s="531"/>
      <c r="K22" s="157"/>
      <c r="L22" s="157"/>
      <c r="M22" s="157"/>
      <c r="N22" s="157"/>
      <c r="O22" s="157"/>
      <c r="P22" s="157"/>
      <c r="Q22" s="157"/>
      <c r="R22" s="231"/>
      <c r="S22" s="231"/>
      <c r="T22" s="231"/>
      <c r="U22" s="231"/>
      <c r="V22" s="231"/>
      <c r="W22" s="231"/>
      <c r="X22" s="157"/>
      <c r="Y22" s="157"/>
      <c r="Z22" s="157"/>
      <c r="AA22" s="157"/>
      <c r="AB22" s="157"/>
      <c r="AC22" s="157"/>
      <c r="AD22" s="157"/>
      <c r="AE22" s="157"/>
      <c r="AF22" s="157"/>
    </row>
    <row r="23" spans="1:32" ht="33.75" customHeight="1">
      <c r="A23" s="520" t="s">
        <v>745</v>
      </c>
      <c r="B23" s="530"/>
      <c r="C23" s="530"/>
      <c r="D23" s="530"/>
      <c r="E23" s="530"/>
      <c r="F23" s="530"/>
      <c r="G23" s="530"/>
      <c r="H23" s="530"/>
      <c r="I23" s="530"/>
      <c r="J23" s="530"/>
      <c r="K23" s="530"/>
      <c r="L23" s="530"/>
      <c r="M23" s="530"/>
      <c r="N23" s="530"/>
      <c r="O23" s="157"/>
      <c r="P23" s="157"/>
      <c r="Q23" s="157"/>
      <c r="R23" s="157"/>
      <c r="S23" s="157"/>
      <c r="T23" s="157"/>
      <c r="U23" s="232"/>
      <c r="V23" s="235"/>
      <c r="W23" s="157"/>
      <c r="X23" s="157"/>
      <c r="Y23" s="157"/>
      <c r="Z23" s="157"/>
      <c r="AA23" s="157"/>
      <c r="AB23" s="157"/>
      <c r="AC23" s="157"/>
      <c r="AD23" s="157"/>
      <c r="AE23" s="157"/>
      <c r="AF23" s="157"/>
    </row>
  </sheetData>
  <mergeCells count="23">
    <mergeCell ref="A10:A11"/>
    <mergeCell ref="A12:A13"/>
    <mergeCell ref="A23:N23"/>
    <mergeCell ref="A22:J22"/>
    <mergeCell ref="A16:A17"/>
    <mergeCell ref="A18:A19"/>
    <mergeCell ref="A20:A21"/>
    <mergeCell ref="A14:A15"/>
    <mergeCell ref="A4:A5"/>
    <mergeCell ref="A6:A7"/>
    <mergeCell ref="A8:A9"/>
    <mergeCell ref="A1:AF1"/>
    <mergeCell ref="A2:B3"/>
    <mergeCell ref="R2:T2"/>
    <mergeCell ref="U2:W2"/>
    <mergeCell ref="X2:Z2"/>
    <mergeCell ref="AA2:AC2"/>
    <mergeCell ref="AD2:AF2"/>
    <mergeCell ref="C2:E2"/>
    <mergeCell ref="F2:H2"/>
    <mergeCell ref="I2:K2"/>
    <mergeCell ref="L2:N2"/>
    <mergeCell ref="O2:Q2"/>
  </mergeCells>
  <phoneticPr fontId="37" type="noConversion"/>
  <hyperlinks>
    <hyperlink ref="AG1" location="本篇表次!A1" display="回本篇表次"/>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G20"/>
  <sheetViews>
    <sheetView showGridLines="0" zoomScale="90" zoomScaleNormal="90" workbookViewId="0">
      <pane xSplit="2" ySplit="3" topLeftCell="C4" activePane="bottomRight" state="frozen"/>
      <selection sqref="A1:AE1"/>
      <selection pane="topRight" sqref="A1:AE1"/>
      <selection pane="bottomLeft" sqref="A1:AE1"/>
      <selection pane="bottomRight" sqref="A1:AE1"/>
    </sheetView>
  </sheetViews>
  <sheetFormatPr defaultColWidth="8.625" defaultRowHeight="16.5"/>
  <cols>
    <col min="1" max="1" width="9.5" bestFit="1" customWidth="1"/>
    <col min="2" max="2" width="6.375" customWidth="1"/>
    <col min="3" max="32" width="8.125" customWidth="1"/>
    <col min="33" max="33" width="12.625" bestFit="1" customWidth="1"/>
  </cols>
  <sheetData>
    <row r="1" spans="1:33" ht="26.1" customHeight="1">
      <c r="A1" s="533" t="s">
        <v>747</v>
      </c>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c r="AC1" s="533"/>
      <c r="AD1" s="533"/>
      <c r="AE1" s="533"/>
      <c r="AF1" s="533"/>
      <c r="AG1" s="242" t="s">
        <v>548</v>
      </c>
    </row>
    <row r="2" spans="1:33" ht="26.1" customHeight="1">
      <c r="A2" s="534"/>
      <c r="B2" s="534"/>
      <c r="C2" s="536" t="s">
        <v>739</v>
      </c>
      <c r="D2" s="536"/>
      <c r="E2" s="536"/>
      <c r="F2" s="536" t="s">
        <v>740</v>
      </c>
      <c r="G2" s="536"/>
      <c r="H2" s="536"/>
      <c r="I2" s="536" t="s">
        <v>741</v>
      </c>
      <c r="J2" s="536"/>
      <c r="K2" s="536"/>
      <c r="L2" s="536" t="s">
        <v>742</v>
      </c>
      <c r="M2" s="536"/>
      <c r="N2" s="536"/>
      <c r="O2" s="536" t="s">
        <v>743</v>
      </c>
      <c r="P2" s="536"/>
      <c r="Q2" s="536"/>
      <c r="R2" s="536" t="s">
        <v>375</v>
      </c>
      <c r="S2" s="536"/>
      <c r="T2" s="536"/>
      <c r="U2" s="536" t="s">
        <v>163</v>
      </c>
      <c r="V2" s="536"/>
      <c r="W2" s="536"/>
      <c r="X2" s="536" t="s">
        <v>388</v>
      </c>
      <c r="Y2" s="536"/>
      <c r="Z2" s="536"/>
      <c r="AA2" s="536" t="s">
        <v>45</v>
      </c>
      <c r="AB2" s="536"/>
      <c r="AC2" s="536"/>
      <c r="AD2" s="536" t="s">
        <v>619</v>
      </c>
      <c r="AE2" s="536"/>
      <c r="AF2" s="536"/>
    </row>
    <row r="3" spans="1:33" ht="26.1" customHeight="1">
      <c r="A3" s="535"/>
      <c r="B3" s="535"/>
      <c r="C3" s="162" t="s">
        <v>402</v>
      </c>
      <c r="D3" s="169" t="s">
        <v>401</v>
      </c>
      <c r="E3" s="169" t="s">
        <v>400</v>
      </c>
      <c r="F3" s="162" t="s">
        <v>402</v>
      </c>
      <c r="G3" s="169" t="s">
        <v>401</v>
      </c>
      <c r="H3" s="169" t="s">
        <v>400</v>
      </c>
      <c r="I3" s="162" t="s">
        <v>402</v>
      </c>
      <c r="J3" s="169" t="s">
        <v>401</v>
      </c>
      <c r="K3" s="169" t="s">
        <v>400</v>
      </c>
      <c r="L3" s="162" t="s">
        <v>402</v>
      </c>
      <c r="M3" s="169" t="s">
        <v>401</v>
      </c>
      <c r="N3" s="169" t="s">
        <v>400</v>
      </c>
      <c r="O3" s="162" t="s">
        <v>402</v>
      </c>
      <c r="P3" s="169" t="s">
        <v>401</v>
      </c>
      <c r="Q3" s="169" t="s">
        <v>400</v>
      </c>
      <c r="R3" s="162" t="s">
        <v>402</v>
      </c>
      <c r="S3" s="169" t="s">
        <v>401</v>
      </c>
      <c r="T3" s="169" t="s">
        <v>400</v>
      </c>
      <c r="U3" s="162" t="s">
        <v>402</v>
      </c>
      <c r="V3" s="169" t="s">
        <v>401</v>
      </c>
      <c r="W3" s="169" t="s">
        <v>400</v>
      </c>
      <c r="X3" s="162" t="s">
        <v>402</v>
      </c>
      <c r="Y3" s="169" t="s">
        <v>401</v>
      </c>
      <c r="Z3" s="169" t="s">
        <v>400</v>
      </c>
      <c r="AA3" s="162" t="s">
        <v>402</v>
      </c>
      <c r="AB3" s="169" t="s">
        <v>401</v>
      </c>
      <c r="AC3" s="169" t="s">
        <v>400</v>
      </c>
      <c r="AD3" s="162" t="s">
        <v>402</v>
      </c>
      <c r="AE3" s="169" t="s">
        <v>401</v>
      </c>
      <c r="AF3" s="169" t="s">
        <v>400</v>
      </c>
    </row>
    <row r="4" spans="1:33" ht="26.1" customHeight="1">
      <c r="A4" s="526" t="s">
        <v>409</v>
      </c>
      <c r="B4" s="175" t="s">
        <v>390</v>
      </c>
      <c r="C4" s="315">
        <v>3436</v>
      </c>
      <c r="D4" s="315">
        <v>2924</v>
      </c>
      <c r="E4" s="315">
        <v>512</v>
      </c>
      <c r="F4" s="315">
        <v>3625</v>
      </c>
      <c r="G4" s="315">
        <v>3064</v>
      </c>
      <c r="H4" s="315">
        <v>561</v>
      </c>
      <c r="I4" s="315">
        <v>3380</v>
      </c>
      <c r="J4" s="315">
        <v>2892</v>
      </c>
      <c r="K4" s="315">
        <v>488</v>
      </c>
      <c r="L4" s="315">
        <v>3079</v>
      </c>
      <c r="M4" s="315">
        <v>2705</v>
      </c>
      <c r="N4" s="315">
        <v>374</v>
      </c>
      <c r="O4" s="315">
        <v>2565</v>
      </c>
      <c r="P4" s="315">
        <v>2263</v>
      </c>
      <c r="Q4" s="315">
        <v>302</v>
      </c>
      <c r="R4" s="315">
        <v>2502</v>
      </c>
      <c r="S4" s="315">
        <v>2236</v>
      </c>
      <c r="T4" s="315">
        <v>266</v>
      </c>
      <c r="U4" s="315">
        <v>2749</v>
      </c>
      <c r="V4" s="315">
        <v>2496</v>
      </c>
      <c r="W4" s="315">
        <v>253</v>
      </c>
      <c r="X4" s="315">
        <v>2177</v>
      </c>
      <c r="Y4" s="315">
        <v>1965</v>
      </c>
      <c r="Z4" s="316">
        <v>212</v>
      </c>
      <c r="AA4" s="316">
        <v>2132</v>
      </c>
      <c r="AB4" s="316">
        <v>1944</v>
      </c>
      <c r="AC4" s="316">
        <v>188</v>
      </c>
      <c r="AD4" s="315">
        <v>2479</v>
      </c>
      <c r="AE4" s="315">
        <v>2279</v>
      </c>
      <c r="AF4" s="315">
        <v>200</v>
      </c>
    </row>
    <row r="5" spans="1:33" ht="26.1" customHeight="1">
      <c r="A5" s="526"/>
      <c r="B5" s="177" t="s">
        <v>75</v>
      </c>
      <c r="C5" s="317">
        <v>100</v>
      </c>
      <c r="D5" s="317">
        <v>100</v>
      </c>
      <c r="E5" s="317">
        <v>100</v>
      </c>
      <c r="F5" s="317">
        <v>100</v>
      </c>
      <c r="G5" s="317">
        <v>100</v>
      </c>
      <c r="H5" s="317">
        <v>100</v>
      </c>
      <c r="I5" s="317">
        <v>100</v>
      </c>
      <c r="J5" s="317">
        <v>100</v>
      </c>
      <c r="K5" s="317">
        <v>100</v>
      </c>
      <c r="L5" s="317">
        <v>100</v>
      </c>
      <c r="M5" s="317">
        <v>100</v>
      </c>
      <c r="N5" s="317">
        <v>100</v>
      </c>
      <c r="O5" s="317">
        <v>100</v>
      </c>
      <c r="P5" s="317">
        <v>100</v>
      </c>
      <c r="Q5" s="317">
        <v>100</v>
      </c>
      <c r="R5" s="317">
        <v>100</v>
      </c>
      <c r="S5" s="317">
        <v>99.999999999999986</v>
      </c>
      <c r="T5" s="317">
        <v>100</v>
      </c>
      <c r="U5" s="317">
        <v>99.999999999999986</v>
      </c>
      <c r="V5" s="317">
        <v>99.999999999999986</v>
      </c>
      <c r="W5" s="317">
        <v>100</v>
      </c>
      <c r="X5" s="317">
        <v>99.999999999999986</v>
      </c>
      <c r="Y5" s="317">
        <v>100</v>
      </c>
      <c r="Z5" s="317">
        <v>100</v>
      </c>
      <c r="AA5" s="317">
        <v>99.999999999999986</v>
      </c>
      <c r="AB5" s="317">
        <v>99.999999999999986</v>
      </c>
      <c r="AC5" s="317">
        <v>100</v>
      </c>
      <c r="AD5" s="317">
        <v>100</v>
      </c>
      <c r="AE5" s="317">
        <v>100</v>
      </c>
      <c r="AF5" s="317">
        <v>100</v>
      </c>
    </row>
    <row r="6" spans="1:33" ht="26.1" customHeight="1">
      <c r="A6" s="526" t="s">
        <v>407</v>
      </c>
      <c r="B6" s="175" t="s">
        <v>390</v>
      </c>
      <c r="C6" s="315">
        <v>2087</v>
      </c>
      <c r="D6" s="315">
        <v>1746</v>
      </c>
      <c r="E6" s="315">
        <v>341</v>
      </c>
      <c r="F6" s="315">
        <v>2105</v>
      </c>
      <c r="G6" s="315">
        <v>1762</v>
      </c>
      <c r="H6" s="315">
        <v>343</v>
      </c>
      <c r="I6" s="315">
        <v>1846</v>
      </c>
      <c r="J6" s="315">
        <v>1548</v>
      </c>
      <c r="K6" s="315">
        <v>298</v>
      </c>
      <c r="L6" s="315">
        <v>1663</v>
      </c>
      <c r="M6" s="315">
        <v>1447</v>
      </c>
      <c r="N6" s="315">
        <v>216</v>
      </c>
      <c r="O6" s="315">
        <v>1377</v>
      </c>
      <c r="P6" s="315">
        <v>1202</v>
      </c>
      <c r="Q6" s="315">
        <v>175</v>
      </c>
      <c r="R6" s="315">
        <v>1344</v>
      </c>
      <c r="S6" s="315">
        <v>1186</v>
      </c>
      <c r="T6" s="315">
        <v>158</v>
      </c>
      <c r="U6" s="315">
        <v>1407</v>
      </c>
      <c r="V6" s="315">
        <v>1260</v>
      </c>
      <c r="W6" s="315">
        <v>147</v>
      </c>
      <c r="X6" s="315">
        <v>1033</v>
      </c>
      <c r="Y6" s="315">
        <v>910</v>
      </c>
      <c r="Z6" s="315">
        <v>123</v>
      </c>
      <c r="AA6" s="315">
        <v>1056</v>
      </c>
      <c r="AB6" s="315">
        <v>946</v>
      </c>
      <c r="AC6" s="315">
        <v>110</v>
      </c>
      <c r="AD6" s="315">
        <v>1216</v>
      </c>
      <c r="AE6" s="315">
        <v>1103</v>
      </c>
      <c r="AF6" s="315">
        <v>113</v>
      </c>
    </row>
    <row r="7" spans="1:33" ht="26.1" customHeight="1">
      <c r="A7" s="526"/>
      <c r="B7" s="177" t="s">
        <v>75</v>
      </c>
      <c r="C7" s="317">
        <v>60.739231664726425</v>
      </c>
      <c r="D7" s="317">
        <v>59.712722298221607</v>
      </c>
      <c r="E7" s="317">
        <v>66.6015625</v>
      </c>
      <c r="F7" s="317">
        <v>58.068965517241381</v>
      </c>
      <c r="G7" s="317">
        <v>57.506527415143601</v>
      </c>
      <c r="H7" s="317">
        <v>61.140819964349383</v>
      </c>
      <c r="I7" s="317">
        <v>54.615384615384613</v>
      </c>
      <c r="J7" s="317">
        <v>53.526970954356848</v>
      </c>
      <c r="K7" s="317">
        <v>61.065573770491795</v>
      </c>
      <c r="L7" s="317">
        <v>54.01104254628126</v>
      </c>
      <c r="M7" s="317">
        <v>53.493530499075781</v>
      </c>
      <c r="N7" s="317">
        <v>57.754010695187162</v>
      </c>
      <c r="O7" s="317">
        <v>53.684210526315788</v>
      </c>
      <c r="P7" s="317">
        <v>53.115333627927527</v>
      </c>
      <c r="Q7" s="317">
        <v>57.947019867549663</v>
      </c>
      <c r="R7" s="317">
        <v>53.717026378896882</v>
      </c>
      <c r="S7" s="317">
        <v>53.041144901610018</v>
      </c>
      <c r="T7" s="317">
        <v>59.398496240601503</v>
      </c>
      <c r="U7" s="317">
        <v>51.182248090214621</v>
      </c>
      <c r="V7" s="317">
        <v>50.480769230769226</v>
      </c>
      <c r="W7" s="317">
        <v>58.102766798418969</v>
      </c>
      <c r="X7" s="317">
        <v>47.450620119430411</v>
      </c>
      <c r="Y7" s="317">
        <v>46.310432569974552</v>
      </c>
      <c r="Z7" s="317">
        <v>58.018867924528308</v>
      </c>
      <c r="AA7" s="317">
        <v>49.530956848030016</v>
      </c>
      <c r="AB7" s="317">
        <v>48.662551440329217</v>
      </c>
      <c r="AC7" s="317">
        <v>58.51063829787234</v>
      </c>
      <c r="AD7" s="317">
        <f>IFERROR(IF(AD6=0,"-",AD6/AD$4*100),"-")</f>
        <v>49.052037111738606</v>
      </c>
      <c r="AE7" s="317">
        <f>IFERROR(IF(AE6=0,"-",AE6/AE$4*100),"-")</f>
        <v>48.398420359806934</v>
      </c>
      <c r="AF7" s="317">
        <f>IFERROR(IF(AF6=0,"-",AF6/AF$4*100),"-")</f>
        <v>56.499999999999993</v>
      </c>
    </row>
    <row r="8" spans="1:33" ht="26.1" customHeight="1">
      <c r="A8" s="526" t="s">
        <v>408</v>
      </c>
      <c r="B8" s="175" t="s">
        <v>390</v>
      </c>
      <c r="C8" s="315">
        <v>1263</v>
      </c>
      <c r="D8" s="315">
        <v>1103</v>
      </c>
      <c r="E8" s="315">
        <v>160</v>
      </c>
      <c r="F8" s="315">
        <v>1438</v>
      </c>
      <c r="G8" s="315">
        <v>1239</v>
      </c>
      <c r="H8" s="315">
        <v>199</v>
      </c>
      <c r="I8" s="315">
        <v>1478</v>
      </c>
      <c r="J8" s="315">
        <v>1301</v>
      </c>
      <c r="K8" s="315">
        <v>177</v>
      </c>
      <c r="L8" s="315">
        <v>1321</v>
      </c>
      <c r="M8" s="315">
        <v>1171</v>
      </c>
      <c r="N8" s="315">
        <v>150</v>
      </c>
      <c r="O8" s="315">
        <v>1095</v>
      </c>
      <c r="P8" s="315">
        <v>978</v>
      </c>
      <c r="Q8" s="315">
        <v>117</v>
      </c>
      <c r="R8" s="315">
        <v>1111</v>
      </c>
      <c r="S8" s="315">
        <v>1008</v>
      </c>
      <c r="T8" s="315">
        <v>103</v>
      </c>
      <c r="U8" s="315">
        <v>1281</v>
      </c>
      <c r="V8" s="315">
        <v>1187</v>
      </c>
      <c r="W8" s="315">
        <v>94</v>
      </c>
      <c r="X8" s="315">
        <v>1099</v>
      </c>
      <c r="Y8" s="315">
        <v>1014</v>
      </c>
      <c r="Z8" s="315">
        <v>85</v>
      </c>
      <c r="AA8" s="315">
        <v>1039</v>
      </c>
      <c r="AB8" s="315">
        <v>965</v>
      </c>
      <c r="AC8" s="315">
        <v>74</v>
      </c>
      <c r="AD8" s="315">
        <v>1205</v>
      </c>
      <c r="AE8" s="315">
        <v>1124</v>
      </c>
      <c r="AF8" s="315">
        <v>81</v>
      </c>
    </row>
    <row r="9" spans="1:33" ht="26.1" customHeight="1">
      <c r="A9" s="526"/>
      <c r="B9" s="177" t="s">
        <v>75</v>
      </c>
      <c r="C9" s="317">
        <v>36.757857974388827</v>
      </c>
      <c r="D9" s="317">
        <v>37.722298221614224</v>
      </c>
      <c r="E9" s="317">
        <v>31.25</v>
      </c>
      <c r="F9" s="317">
        <v>39.668965517241375</v>
      </c>
      <c r="G9" s="317">
        <v>40.43733681462141</v>
      </c>
      <c r="H9" s="317">
        <v>35.472370766488417</v>
      </c>
      <c r="I9" s="317">
        <v>43.727810650887569</v>
      </c>
      <c r="J9" s="317">
        <v>44.986168741355463</v>
      </c>
      <c r="K9" s="317">
        <v>36.270491803278688</v>
      </c>
      <c r="L9" s="317">
        <v>42.903540110425467</v>
      </c>
      <c r="M9" s="317">
        <v>43.290203327171909</v>
      </c>
      <c r="N9" s="317">
        <v>40.106951871657756</v>
      </c>
      <c r="O9" s="317">
        <v>42.690058479532162</v>
      </c>
      <c r="P9" s="317">
        <v>43.216968625718074</v>
      </c>
      <c r="Q9" s="317">
        <v>38.741721854304636</v>
      </c>
      <c r="R9" s="317">
        <v>44.40447641886491</v>
      </c>
      <c r="S9" s="317">
        <v>45.080500894454381</v>
      </c>
      <c r="T9" s="317">
        <v>38.721804511278194</v>
      </c>
      <c r="U9" s="317">
        <v>46.598763186613311</v>
      </c>
      <c r="V9" s="317">
        <v>47.556089743589745</v>
      </c>
      <c r="W9" s="317">
        <v>37.154150197628461</v>
      </c>
      <c r="X9" s="317">
        <v>50.482315112540185</v>
      </c>
      <c r="Y9" s="317">
        <v>51.603053435114496</v>
      </c>
      <c r="Z9" s="317">
        <v>40.094339622641513</v>
      </c>
      <c r="AA9" s="317">
        <v>48.733583489681045</v>
      </c>
      <c r="AB9" s="317">
        <v>49.639917695473251</v>
      </c>
      <c r="AC9" s="317">
        <v>39.361702127659576</v>
      </c>
      <c r="AD9" s="317">
        <f>IFERROR(IF(AD8=0,"-",AD8/AD$4*100),"-")</f>
        <v>48.608309802339654</v>
      </c>
      <c r="AE9" s="317">
        <f>IFERROR(IF(AE8=0,"-",AE8/AE$4*100),"-")</f>
        <v>49.3198771390961</v>
      </c>
      <c r="AF9" s="317">
        <f>IFERROR(IF(AF8=0,"-",AF8/AF$4*100),"-")</f>
        <v>40.5</v>
      </c>
    </row>
    <row r="10" spans="1:33" ht="26.1" customHeight="1">
      <c r="A10" s="526" t="s">
        <v>406</v>
      </c>
      <c r="B10" s="175" t="s">
        <v>390</v>
      </c>
      <c r="C10" s="315">
        <v>75</v>
      </c>
      <c r="D10" s="315">
        <v>71</v>
      </c>
      <c r="E10" s="315">
        <v>4</v>
      </c>
      <c r="F10" s="315">
        <v>71</v>
      </c>
      <c r="G10" s="315">
        <v>54</v>
      </c>
      <c r="H10" s="315">
        <v>17</v>
      </c>
      <c r="I10" s="315">
        <v>45</v>
      </c>
      <c r="J10" s="315">
        <v>36</v>
      </c>
      <c r="K10" s="315">
        <v>9</v>
      </c>
      <c r="L10" s="315">
        <v>76</v>
      </c>
      <c r="M10" s="315">
        <v>71</v>
      </c>
      <c r="N10" s="315">
        <v>5</v>
      </c>
      <c r="O10" s="315">
        <v>74</v>
      </c>
      <c r="P10" s="315">
        <v>66</v>
      </c>
      <c r="Q10" s="315">
        <v>8</v>
      </c>
      <c r="R10" s="315">
        <v>32</v>
      </c>
      <c r="S10" s="315">
        <v>28</v>
      </c>
      <c r="T10" s="315">
        <v>4</v>
      </c>
      <c r="U10" s="315">
        <v>45</v>
      </c>
      <c r="V10" s="315">
        <v>34</v>
      </c>
      <c r="W10" s="315">
        <v>11</v>
      </c>
      <c r="X10" s="315">
        <v>28</v>
      </c>
      <c r="Y10" s="315">
        <v>24</v>
      </c>
      <c r="Z10" s="315">
        <v>4</v>
      </c>
      <c r="AA10" s="315">
        <v>23</v>
      </c>
      <c r="AB10" s="315">
        <v>20</v>
      </c>
      <c r="AC10" s="315">
        <v>3</v>
      </c>
      <c r="AD10" s="315">
        <v>49</v>
      </c>
      <c r="AE10" s="315">
        <v>44</v>
      </c>
      <c r="AF10" s="315">
        <v>5</v>
      </c>
    </row>
    <row r="11" spans="1:33" ht="26.1" customHeight="1">
      <c r="A11" s="526"/>
      <c r="B11" s="177" t="s">
        <v>75</v>
      </c>
      <c r="C11" s="317">
        <v>2.1827706635622817</v>
      </c>
      <c r="D11" s="317">
        <v>2.4281805745554035</v>
      </c>
      <c r="E11" s="317">
        <v>0.78125</v>
      </c>
      <c r="F11" s="317">
        <v>1.9586206896551723</v>
      </c>
      <c r="G11" s="317">
        <v>1.762402088772846</v>
      </c>
      <c r="H11" s="317">
        <v>3.0303030303030303</v>
      </c>
      <c r="I11" s="317">
        <v>1.3313609467455623</v>
      </c>
      <c r="J11" s="317">
        <v>1.2448132780082988</v>
      </c>
      <c r="K11" s="317">
        <v>1.8442622950819672</v>
      </c>
      <c r="L11" s="317">
        <v>2.4683338746346215</v>
      </c>
      <c r="M11" s="317">
        <v>2.6247689463955637</v>
      </c>
      <c r="N11" s="317">
        <v>1.3368983957219251</v>
      </c>
      <c r="O11" s="317">
        <v>2.8849902534113059</v>
      </c>
      <c r="P11" s="317">
        <v>2.9164825452938579</v>
      </c>
      <c r="Q11" s="317">
        <v>2.6490066225165565</v>
      </c>
      <c r="R11" s="317">
        <v>1.2789768185451638</v>
      </c>
      <c r="S11" s="317">
        <v>1.2522361359570662</v>
      </c>
      <c r="T11" s="317">
        <v>1.5037593984962405</v>
      </c>
      <c r="U11" s="317">
        <v>1.6369588941433248</v>
      </c>
      <c r="V11" s="317">
        <v>1.3621794871794872</v>
      </c>
      <c r="W11" s="317">
        <v>4.3478260869565215</v>
      </c>
      <c r="X11" s="317">
        <v>1.2861736334405145</v>
      </c>
      <c r="Y11" s="317">
        <v>1.2213740458015268</v>
      </c>
      <c r="Z11" s="317">
        <v>1.8867924528301887</v>
      </c>
      <c r="AA11" s="317">
        <v>1.0787992495309568</v>
      </c>
      <c r="AB11" s="317">
        <v>1.0288065843621399</v>
      </c>
      <c r="AC11" s="317">
        <v>1.5957446808510638</v>
      </c>
      <c r="AD11" s="317">
        <f>IFERROR(IF(AD10=0,"-",AD10/AD$4*100),"-")</f>
        <v>1.9766034691407826</v>
      </c>
      <c r="AE11" s="317">
        <f>IFERROR(IF(AE10=0,"-",AE10/AE$4*100),"-")</f>
        <v>1.9306713470820536</v>
      </c>
      <c r="AF11" s="317">
        <f>IFERROR(IF(AF10=0,"-",AF10/AF$4*100),"-")</f>
        <v>2.5</v>
      </c>
    </row>
    <row r="12" spans="1:33" ht="26.1" customHeight="1">
      <c r="A12" s="526" t="s">
        <v>405</v>
      </c>
      <c r="B12" s="175" t="s">
        <v>390</v>
      </c>
      <c r="C12" s="315">
        <v>11</v>
      </c>
      <c r="D12" s="315">
        <v>4</v>
      </c>
      <c r="E12" s="315">
        <v>7</v>
      </c>
      <c r="F12" s="315">
        <v>9</v>
      </c>
      <c r="G12" s="315">
        <v>7</v>
      </c>
      <c r="H12" s="315">
        <v>2</v>
      </c>
      <c r="I12" s="315">
        <v>11</v>
      </c>
      <c r="J12" s="315">
        <v>7</v>
      </c>
      <c r="K12" s="315">
        <v>4</v>
      </c>
      <c r="L12" s="315">
        <v>18</v>
      </c>
      <c r="M12" s="315">
        <v>15</v>
      </c>
      <c r="N12" s="315">
        <v>3</v>
      </c>
      <c r="O12" s="315">
        <v>17</v>
      </c>
      <c r="P12" s="315">
        <v>15</v>
      </c>
      <c r="Q12" s="315">
        <v>2</v>
      </c>
      <c r="R12" s="315">
        <v>14</v>
      </c>
      <c r="S12" s="315">
        <v>13</v>
      </c>
      <c r="T12" s="315">
        <v>1</v>
      </c>
      <c r="U12" s="315">
        <v>15</v>
      </c>
      <c r="V12" s="315">
        <v>14</v>
      </c>
      <c r="W12" s="315">
        <v>1</v>
      </c>
      <c r="X12" s="315">
        <v>17</v>
      </c>
      <c r="Y12" s="315">
        <v>17</v>
      </c>
      <c r="Z12" s="315" t="s">
        <v>49</v>
      </c>
      <c r="AA12" s="315">
        <v>14</v>
      </c>
      <c r="AB12" s="315">
        <v>13</v>
      </c>
      <c r="AC12" s="315">
        <v>1</v>
      </c>
      <c r="AD12" s="315">
        <v>8</v>
      </c>
      <c r="AE12" s="315">
        <v>7</v>
      </c>
      <c r="AF12" s="315">
        <v>1</v>
      </c>
    </row>
    <row r="13" spans="1:33" ht="26.1" customHeight="1">
      <c r="A13" s="526"/>
      <c r="B13" s="177" t="s">
        <v>75</v>
      </c>
      <c r="C13" s="317">
        <v>0.32013969732246794</v>
      </c>
      <c r="D13" s="317">
        <v>0.13679890560875513</v>
      </c>
      <c r="E13" s="317">
        <v>1.3671875</v>
      </c>
      <c r="F13" s="317">
        <v>0.24827586206896554</v>
      </c>
      <c r="G13" s="317">
        <v>0.22845953002610966</v>
      </c>
      <c r="H13" s="317">
        <v>0.35650623885918004</v>
      </c>
      <c r="I13" s="317">
        <v>0.32544378698224852</v>
      </c>
      <c r="J13" s="317">
        <v>0.24204702627939143</v>
      </c>
      <c r="K13" s="317">
        <v>0.81967213114754101</v>
      </c>
      <c r="L13" s="317">
        <v>0.58460539136083145</v>
      </c>
      <c r="M13" s="317">
        <v>0.55452865064695012</v>
      </c>
      <c r="N13" s="317">
        <v>0.80213903743315518</v>
      </c>
      <c r="O13" s="317">
        <v>0.66276803118908378</v>
      </c>
      <c r="P13" s="317">
        <v>0.66283694211224042</v>
      </c>
      <c r="Q13" s="317">
        <v>0.66225165562913912</v>
      </c>
      <c r="R13" s="317">
        <v>0.55955235811350923</v>
      </c>
      <c r="S13" s="317">
        <v>0.58139534883720934</v>
      </c>
      <c r="T13" s="317">
        <v>0.37593984962406013</v>
      </c>
      <c r="U13" s="317">
        <v>0.54565296471444158</v>
      </c>
      <c r="V13" s="317">
        <v>0.5608974358974359</v>
      </c>
      <c r="W13" s="317">
        <v>0.39525691699604742</v>
      </c>
      <c r="X13" s="317">
        <v>0.78089113458888371</v>
      </c>
      <c r="Y13" s="317">
        <v>0.86513994910941472</v>
      </c>
      <c r="Z13" s="317" t="s">
        <v>49</v>
      </c>
      <c r="AA13" s="317">
        <v>0.65666041275797382</v>
      </c>
      <c r="AB13" s="317">
        <v>0.66872427983539096</v>
      </c>
      <c r="AC13" s="317">
        <v>0.53191489361702127</v>
      </c>
      <c r="AD13" s="317">
        <f>IFERROR(IF(AD12=0,"-",AD12/AD$4*100),"-")</f>
        <v>0.3227107704719645</v>
      </c>
      <c r="AE13" s="317">
        <f>IFERROR(IF(AE12=0,"-",AE12/AE$4*100),"-")</f>
        <v>0.30715225976305399</v>
      </c>
      <c r="AF13" s="317">
        <f>IFERROR(IF(AF12=0,"-",AF12/AF$4*100),"-")</f>
        <v>0.5</v>
      </c>
    </row>
    <row r="14" spans="1:33" ht="26.1" customHeight="1">
      <c r="A14" s="526" t="s">
        <v>404</v>
      </c>
      <c r="B14" s="175" t="s">
        <v>390</v>
      </c>
      <c r="C14" s="315">
        <v>0</v>
      </c>
      <c r="D14" s="315">
        <v>0</v>
      </c>
      <c r="E14" s="315">
        <v>0</v>
      </c>
      <c r="F14" s="315">
        <v>0</v>
      </c>
      <c r="G14" s="315">
        <v>0</v>
      </c>
      <c r="H14" s="315">
        <v>0</v>
      </c>
      <c r="I14" s="315">
        <v>0</v>
      </c>
      <c r="J14" s="315">
        <v>0</v>
      </c>
      <c r="K14" s="315">
        <v>0</v>
      </c>
      <c r="L14" s="315">
        <v>0</v>
      </c>
      <c r="M14" s="315">
        <v>0</v>
      </c>
      <c r="N14" s="315">
        <v>0</v>
      </c>
      <c r="O14" s="315">
        <v>0</v>
      </c>
      <c r="P14" s="315">
        <v>0</v>
      </c>
      <c r="Q14" s="315">
        <v>0</v>
      </c>
      <c r="R14" s="315">
        <v>1</v>
      </c>
      <c r="S14" s="315">
        <v>1</v>
      </c>
      <c r="T14" s="315" t="s">
        <v>49</v>
      </c>
      <c r="U14" s="315" t="s">
        <v>220</v>
      </c>
      <c r="V14" s="315" t="s">
        <v>220</v>
      </c>
      <c r="W14" s="315" t="s">
        <v>49</v>
      </c>
      <c r="X14" s="315" t="s">
        <v>49</v>
      </c>
      <c r="Y14" s="315" t="s">
        <v>49</v>
      </c>
      <c r="Z14" s="315" t="s">
        <v>49</v>
      </c>
      <c r="AA14" s="315" t="s">
        <v>49</v>
      </c>
      <c r="AB14" s="315" t="s">
        <v>49</v>
      </c>
      <c r="AC14" s="315" t="s">
        <v>49</v>
      </c>
      <c r="AD14" s="315" t="s">
        <v>49</v>
      </c>
      <c r="AE14" s="315" t="s">
        <v>49</v>
      </c>
      <c r="AF14" s="315" t="s">
        <v>49</v>
      </c>
    </row>
    <row r="15" spans="1:33" ht="26.1" customHeight="1">
      <c r="A15" s="526"/>
      <c r="B15" s="177" t="s">
        <v>75</v>
      </c>
      <c r="C15" s="315">
        <v>0</v>
      </c>
      <c r="D15" s="315">
        <v>0</v>
      </c>
      <c r="E15" s="315">
        <v>0</v>
      </c>
      <c r="F15" s="315">
        <v>0</v>
      </c>
      <c r="G15" s="315">
        <v>0</v>
      </c>
      <c r="H15" s="315">
        <v>0</v>
      </c>
      <c r="I15" s="315">
        <v>0</v>
      </c>
      <c r="J15" s="315">
        <v>0</v>
      </c>
      <c r="K15" s="315">
        <v>0</v>
      </c>
      <c r="L15" s="315">
        <v>0</v>
      </c>
      <c r="M15" s="315">
        <v>0</v>
      </c>
      <c r="N15" s="315">
        <v>0</v>
      </c>
      <c r="O15" s="315">
        <v>0</v>
      </c>
      <c r="P15" s="315">
        <v>0</v>
      </c>
      <c r="Q15" s="315">
        <v>0</v>
      </c>
      <c r="R15" s="317">
        <v>3.9968025579536368E-2</v>
      </c>
      <c r="S15" s="317">
        <v>4.4722719141323794E-2</v>
      </c>
      <c r="T15" s="317" t="s">
        <v>49</v>
      </c>
      <c r="U15" s="317" t="s">
        <v>49</v>
      </c>
      <c r="V15" s="317" t="s">
        <v>49</v>
      </c>
      <c r="W15" s="317" t="s">
        <v>49</v>
      </c>
      <c r="X15" s="317" t="s">
        <v>49</v>
      </c>
      <c r="Y15" s="317" t="s">
        <v>49</v>
      </c>
      <c r="Z15" s="317" t="s">
        <v>49</v>
      </c>
      <c r="AA15" s="317" t="s">
        <v>49</v>
      </c>
      <c r="AB15" s="317" t="s">
        <v>49</v>
      </c>
      <c r="AC15" s="317" t="s">
        <v>49</v>
      </c>
      <c r="AD15" s="317" t="s">
        <v>49</v>
      </c>
      <c r="AE15" s="317" t="s">
        <v>49</v>
      </c>
      <c r="AF15" s="317" t="s">
        <v>49</v>
      </c>
    </row>
    <row r="16" spans="1:33" ht="26.1" customHeight="1">
      <c r="A16" s="526" t="s">
        <v>403</v>
      </c>
      <c r="B16" s="175" t="s">
        <v>390</v>
      </c>
      <c r="C16" s="315">
        <v>0</v>
      </c>
      <c r="D16" s="315">
        <v>0</v>
      </c>
      <c r="E16" s="315">
        <v>0</v>
      </c>
      <c r="F16" s="315">
        <v>2</v>
      </c>
      <c r="G16" s="315">
        <v>2</v>
      </c>
      <c r="H16" s="315">
        <v>0</v>
      </c>
      <c r="I16" s="315">
        <v>0</v>
      </c>
      <c r="J16" s="315">
        <v>0</v>
      </c>
      <c r="K16" s="315">
        <v>0</v>
      </c>
      <c r="L16" s="315">
        <v>1</v>
      </c>
      <c r="M16" s="315">
        <v>1</v>
      </c>
      <c r="N16" s="315">
        <v>0</v>
      </c>
      <c r="O16" s="315">
        <v>2</v>
      </c>
      <c r="P16" s="315">
        <v>2</v>
      </c>
      <c r="Q16" s="315">
        <v>0</v>
      </c>
      <c r="R16" s="315" t="s">
        <v>220</v>
      </c>
      <c r="S16" s="315" t="s">
        <v>220</v>
      </c>
      <c r="T16" s="315" t="s">
        <v>49</v>
      </c>
      <c r="U16" s="315">
        <v>1</v>
      </c>
      <c r="V16" s="315">
        <v>1</v>
      </c>
      <c r="W16" s="315" t="s">
        <v>49</v>
      </c>
      <c r="X16" s="315" t="s">
        <v>220</v>
      </c>
      <c r="Y16" s="315" t="s">
        <v>220</v>
      </c>
      <c r="Z16" s="315" t="s">
        <v>49</v>
      </c>
      <c r="AA16" s="315" t="s">
        <v>49</v>
      </c>
      <c r="AB16" s="315" t="s">
        <v>49</v>
      </c>
      <c r="AC16" s="315" t="s">
        <v>49</v>
      </c>
      <c r="AD16" s="315" t="s">
        <v>49</v>
      </c>
      <c r="AE16" s="315" t="s">
        <v>49</v>
      </c>
      <c r="AF16" s="315" t="s">
        <v>49</v>
      </c>
    </row>
    <row r="17" spans="1:32" ht="26.1" customHeight="1">
      <c r="A17" s="532"/>
      <c r="B17" s="173" t="s">
        <v>75</v>
      </c>
      <c r="C17" s="318">
        <v>0</v>
      </c>
      <c r="D17" s="318">
        <v>0</v>
      </c>
      <c r="E17" s="318">
        <v>0</v>
      </c>
      <c r="F17" s="319">
        <v>5.5172413793103448E-2</v>
      </c>
      <c r="G17" s="319">
        <v>6.5274151436031339E-2</v>
      </c>
      <c r="H17" s="318">
        <v>0</v>
      </c>
      <c r="I17" s="318">
        <v>0</v>
      </c>
      <c r="J17" s="318">
        <v>0</v>
      </c>
      <c r="K17" s="318">
        <v>0</v>
      </c>
      <c r="L17" s="319">
        <v>3.2478077297823968E-2</v>
      </c>
      <c r="M17" s="319">
        <v>3.6968576709796669E-2</v>
      </c>
      <c r="N17" s="318">
        <v>0</v>
      </c>
      <c r="O17" s="319">
        <v>7.7972709551656916E-2</v>
      </c>
      <c r="P17" s="319">
        <v>8.8378258948298719E-2</v>
      </c>
      <c r="Q17" s="318">
        <v>0</v>
      </c>
      <c r="R17" s="319" t="s">
        <v>49</v>
      </c>
      <c r="S17" s="319" t="s">
        <v>49</v>
      </c>
      <c r="T17" s="319" t="s">
        <v>49</v>
      </c>
      <c r="U17" s="319">
        <v>3.6376864314296105E-2</v>
      </c>
      <c r="V17" s="319">
        <v>4.0064102564102561E-2</v>
      </c>
      <c r="W17" s="319" t="s">
        <v>49</v>
      </c>
      <c r="X17" s="319" t="s">
        <v>49</v>
      </c>
      <c r="Y17" s="319" t="s">
        <v>49</v>
      </c>
      <c r="Z17" s="319" t="s">
        <v>49</v>
      </c>
      <c r="AA17" s="319" t="s">
        <v>49</v>
      </c>
      <c r="AB17" s="319" t="s">
        <v>49</v>
      </c>
      <c r="AC17" s="319" t="s">
        <v>49</v>
      </c>
      <c r="AD17" s="319" t="s">
        <v>49</v>
      </c>
      <c r="AE17" s="319" t="s">
        <v>49</v>
      </c>
      <c r="AF17" s="319" t="s">
        <v>49</v>
      </c>
    </row>
    <row r="18" spans="1:32" ht="18" customHeight="1">
      <c r="A18" s="537" t="s">
        <v>389</v>
      </c>
      <c r="B18" s="537"/>
      <c r="C18" s="537"/>
      <c r="D18" s="537"/>
      <c r="E18" s="537"/>
      <c r="F18" s="537"/>
      <c r="G18" s="179"/>
      <c r="H18" s="179"/>
      <c r="I18" s="179"/>
      <c r="J18" s="179"/>
      <c r="K18" s="179"/>
      <c r="L18" s="179"/>
      <c r="M18" s="179"/>
      <c r="N18" s="179"/>
      <c r="O18" s="179"/>
      <c r="P18" s="179"/>
      <c r="Q18" s="179"/>
      <c r="R18" s="231"/>
      <c r="S18" s="231"/>
      <c r="T18" s="231"/>
      <c r="U18" s="231"/>
      <c r="V18" s="231"/>
      <c r="W18" s="231"/>
      <c r="X18" s="231"/>
      <c r="Y18" s="231"/>
      <c r="Z18" s="231"/>
      <c r="AA18" s="157"/>
      <c r="AB18" s="157"/>
      <c r="AC18" s="157"/>
      <c r="AD18" s="233"/>
      <c r="AE18" s="233"/>
      <c r="AF18" s="233"/>
    </row>
    <row r="19" spans="1:32" ht="37.5" customHeight="1">
      <c r="A19" s="520" t="s">
        <v>745</v>
      </c>
      <c r="B19" s="520"/>
      <c r="C19" s="520"/>
      <c r="D19" s="520"/>
      <c r="E19" s="520"/>
      <c r="F19" s="520"/>
      <c r="G19" s="520"/>
      <c r="H19" s="520"/>
      <c r="I19" s="520"/>
      <c r="J19" s="520"/>
      <c r="K19" s="520"/>
      <c r="L19" s="520"/>
      <c r="M19" s="520"/>
      <c r="N19" s="520"/>
      <c r="O19" s="520"/>
      <c r="P19" s="520"/>
      <c r="Q19" s="520"/>
      <c r="R19" s="520"/>
      <c r="S19" s="157"/>
      <c r="T19" s="157"/>
      <c r="U19" s="157"/>
      <c r="V19" s="157"/>
      <c r="W19" s="157"/>
      <c r="X19" s="157"/>
      <c r="Y19" s="157"/>
      <c r="Z19" s="157"/>
      <c r="AA19" s="157"/>
      <c r="AB19" s="157"/>
      <c r="AC19" s="157"/>
      <c r="AD19" s="233"/>
      <c r="AE19" s="233"/>
      <c r="AF19" s="233"/>
    </row>
    <row r="20" spans="1:32">
      <c r="A20" s="171"/>
      <c r="B20" s="171"/>
      <c r="C20" s="171"/>
      <c r="D20" s="171"/>
      <c r="E20" s="171"/>
      <c r="F20" s="171"/>
      <c r="G20" s="171"/>
      <c r="H20" s="171"/>
      <c r="I20" s="171"/>
      <c r="J20" s="171"/>
      <c r="K20" s="171"/>
      <c r="L20" s="171"/>
      <c r="M20" s="171"/>
      <c r="N20" s="171"/>
      <c r="O20" s="171"/>
      <c r="P20" s="171"/>
      <c r="Q20" s="171"/>
      <c r="R20" s="236"/>
      <c r="S20" s="236"/>
      <c r="T20" s="236"/>
      <c r="U20" s="236"/>
      <c r="V20" s="236"/>
      <c r="W20" s="236"/>
      <c r="X20" s="236"/>
      <c r="Y20" s="236"/>
      <c r="Z20" s="236"/>
      <c r="AA20" s="171"/>
      <c r="AB20" s="171"/>
      <c r="AC20" s="171"/>
      <c r="AD20" s="171"/>
      <c r="AE20" s="171"/>
      <c r="AF20" s="171"/>
    </row>
  </sheetData>
  <mergeCells count="21">
    <mergeCell ref="A18:F18"/>
    <mergeCell ref="A19:R19"/>
    <mergeCell ref="A16:A17"/>
    <mergeCell ref="A4:A5"/>
    <mergeCell ref="A8:A9"/>
    <mergeCell ref="A6:A7"/>
    <mergeCell ref="A10:A11"/>
    <mergeCell ref="A12:A13"/>
    <mergeCell ref="A14:A15"/>
    <mergeCell ref="A1:AF1"/>
    <mergeCell ref="A2:B3"/>
    <mergeCell ref="R2:T2"/>
    <mergeCell ref="U2:W2"/>
    <mergeCell ref="X2:Z2"/>
    <mergeCell ref="AA2:AC2"/>
    <mergeCell ref="AD2:AF2"/>
    <mergeCell ref="C2:E2"/>
    <mergeCell ref="F2:H2"/>
    <mergeCell ref="I2:K2"/>
    <mergeCell ref="L2:N2"/>
    <mergeCell ref="O2:Q2"/>
  </mergeCells>
  <phoneticPr fontId="2" type="noConversion"/>
  <hyperlinks>
    <hyperlink ref="AG1" location="本篇表次!A1" display="回本篇表次"/>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G18"/>
  <sheetViews>
    <sheetView showGridLines="0" zoomScaleNormal="100" workbookViewId="0">
      <pane xSplit="1" ySplit="3" topLeftCell="B4" activePane="bottomRight" state="frozen"/>
      <selection sqref="A1:AE1"/>
      <selection pane="topRight" sqref="A1:AE1"/>
      <selection pane="bottomLeft" sqref="A1:AE1"/>
      <selection pane="bottomRight" sqref="A1:AE1"/>
    </sheetView>
  </sheetViews>
  <sheetFormatPr defaultColWidth="10" defaultRowHeight="16.5"/>
  <cols>
    <col min="1" max="1" width="13.875" bestFit="1" customWidth="1"/>
    <col min="2" max="2" width="6.5" customWidth="1"/>
    <col min="3" max="32" width="8.625" customWidth="1"/>
    <col min="33" max="33" width="12.625" bestFit="1" customWidth="1"/>
  </cols>
  <sheetData>
    <row r="1" spans="1:33" ht="26.1" customHeight="1">
      <c r="A1" s="533" t="s">
        <v>748</v>
      </c>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c r="AC1" s="533"/>
      <c r="AD1" s="533"/>
      <c r="AE1" s="533"/>
      <c r="AF1" s="533"/>
      <c r="AG1" s="242" t="s">
        <v>548</v>
      </c>
    </row>
    <row r="2" spans="1:33" ht="30" customHeight="1">
      <c r="A2" s="528"/>
      <c r="B2" s="528"/>
      <c r="C2" s="536" t="s">
        <v>739</v>
      </c>
      <c r="D2" s="536"/>
      <c r="E2" s="536"/>
      <c r="F2" s="536" t="s">
        <v>740</v>
      </c>
      <c r="G2" s="536"/>
      <c r="H2" s="536"/>
      <c r="I2" s="536" t="s">
        <v>741</v>
      </c>
      <c r="J2" s="536"/>
      <c r="K2" s="536"/>
      <c r="L2" s="536" t="s">
        <v>742</v>
      </c>
      <c r="M2" s="536"/>
      <c r="N2" s="536"/>
      <c r="O2" s="536" t="s">
        <v>743</v>
      </c>
      <c r="P2" s="536"/>
      <c r="Q2" s="536"/>
      <c r="R2" s="536" t="s">
        <v>375</v>
      </c>
      <c r="S2" s="536"/>
      <c r="T2" s="536"/>
      <c r="U2" s="536" t="s">
        <v>163</v>
      </c>
      <c r="V2" s="536"/>
      <c r="W2" s="536"/>
      <c r="X2" s="536" t="s">
        <v>388</v>
      </c>
      <c r="Y2" s="536"/>
      <c r="Z2" s="536"/>
      <c r="AA2" s="536" t="s">
        <v>45</v>
      </c>
      <c r="AB2" s="536"/>
      <c r="AC2" s="536"/>
      <c r="AD2" s="536" t="s">
        <v>619</v>
      </c>
      <c r="AE2" s="536"/>
      <c r="AF2" s="536"/>
    </row>
    <row r="3" spans="1:33" ht="30" customHeight="1">
      <c r="A3" s="526"/>
      <c r="B3" s="526"/>
      <c r="C3" s="162" t="s">
        <v>402</v>
      </c>
      <c r="D3" s="169" t="s">
        <v>401</v>
      </c>
      <c r="E3" s="169" t="s">
        <v>400</v>
      </c>
      <c r="F3" s="162" t="s">
        <v>402</v>
      </c>
      <c r="G3" s="169" t="s">
        <v>401</v>
      </c>
      <c r="H3" s="169" t="s">
        <v>400</v>
      </c>
      <c r="I3" s="162" t="s">
        <v>402</v>
      </c>
      <c r="J3" s="169" t="s">
        <v>401</v>
      </c>
      <c r="K3" s="169" t="s">
        <v>400</v>
      </c>
      <c r="L3" s="162" t="s">
        <v>402</v>
      </c>
      <c r="M3" s="169" t="s">
        <v>401</v>
      </c>
      <c r="N3" s="169" t="s">
        <v>400</v>
      </c>
      <c r="O3" s="162" t="s">
        <v>402</v>
      </c>
      <c r="P3" s="169" t="s">
        <v>401</v>
      </c>
      <c r="Q3" s="169" t="s">
        <v>400</v>
      </c>
      <c r="R3" s="162" t="s">
        <v>402</v>
      </c>
      <c r="S3" s="169" t="s">
        <v>401</v>
      </c>
      <c r="T3" s="169" t="s">
        <v>400</v>
      </c>
      <c r="U3" s="162" t="s">
        <v>402</v>
      </c>
      <c r="V3" s="169" t="s">
        <v>401</v>
      </c>
      <c r="W3" s="169" t="s">
        <v>400</v>
      </c>
      <c r="X3" s="162" t="s">
        <v>402</v>
      </c>
      <c r="Y3" s="169" t="s">
        <v>401</v>
      </c>
      <c r="Z3" s="169" t="s">
        <v>400</v>
      </c>
      <c r="AA3" s="162" t="s">
        <v>402</v>
      </c>
      <c r="AB3" s="169" t="s">
        <v>401</v>
      </c>
      <c r="AC3" s="169" t="s">
        <v>400</v>
      </c>
      <c r="AD3" s="162" t="s">
        <v>402</v>
      </c>
      <c r="AE3" s="169" t="s">
        <v>401</v>
      </c>
      <c r="AF3" s="169" t="s">
        <v>400</v>
      </c>
    </row>
    <row r="4" spans="1:33" ht="30" customHeight="1">
      <c r="A4" s="526" t="s">
        <v>547</v>
      </c>
      <c r="B4" s="166" t="s">
        <v>390</v>
      </c>
      <c r="C4" s="310">
        <v>3436</v>
      </c>
      <c r="D4" s="310">
        <v>2924</v>
      </c>
      <c r="E4" s="310">
        <v>512</v>
      </c>
      <c r="F4" s="310">
        <v>3625</v>
      </c>
      <c r="G4" s="310">
        <v>3064</v>
      </c>
      <c r="H4" s="310">
        <v>561</v>
      </c>
      <c r="I4" s="310">
        <v>3380</v>
      </c>
      <c r="J4" s="310">
        <v>2892</v>
      </c>
      <c r="K4" s="310">
        <v>488</v>
      </c>
      <c r="L4" s="310">
        <v>3079</v>
      </c>
      <c r="M4" s="310">
        <v>2705</v>
      </c>
      <c r="N4" s="310">
        <v>374</v>
      </c>
      <c r="O4" s="310">
        <v>2565</v>
      </c>
      <c r="P4" s="310">
        <v>2263</v>
      </c>
      <c r="Q4" s="310">
        <v>302</v>
      </c>
      <c r="R4" s="310">
        <f t="shared" ref="R4:AC4" si="0">SUM(R10,R6,R8,R12,R14)</f>
        <v>2502</v>
      </c>
      <c r="S4" s="310">
        <f t="shared" si="0"/>
        <v>2236</v>
      </c>
      <c r="T4" s="310">
        <f t="shared" si="0"/>
        <v>266</v>
      </c>
      <c r="U4" s="310">
        <f t="shared" si="0"/>
        <v>2749</v>
      </c>
      <c r="V4" s="310">
        <f t="shared" si="0"/>
        <v>2496</v>
      </c>
      <c r="W4" s="310">
        <f t="shared" si="0"/>
        <v>253</v>
      </c>
      <c r="X4" s="310">
        <f t="shared" si="0"/>
        <v>2177</v>
      </c>
      <c r="Y4" s="310">
        <f t="shared" si="0"/>
        <v>1965</v>
      </c>
      <c r="Z4" s="310">
        <f t="shared" si="0"/>
        <v>212</v>
      </c>
      <c r="AA4" s="311">
        <f>SUM(AA10,AA6,AA8,AA12,AA14)</f>
        <v>2132</v>
      </c>
      <c r="AB4" s="311">
        <f t="shared" si="0"/>
        <v>1944</v>
      </c>
      <c r="AC4" s="311">
        <f t="shared" si="0"/>
        <v>188</v>
      </c>
      <c r="AD4" s="311">
        <f t="shared" ref="AD4:AF5" si="1">SUM(AD10,AD6,AD8,AD12,AD14)</f>
        <v>2479</v>
      </c>
      <c r="AE4" s="311">
        <f t="shared" si="1"/>
        <v>2279</v>
      </c>
      <c r="AF4" s="311">
        <f t="shared" si="1"/>
        <v>200</v>
      </c>
    </row>
    <row r="5" spans="1:33" ht="30" customHeight="1">
      <c r="A5" s="526"/>
      <c r="B5" s="166" t="s">
        <v>75</v>
      </c>
      <c r="C5" s="312">
        <v>100</v>
      </c>
      <c r="D5" s="312">
        <v>100</v>
      </c>
      <c r="E5" s="312">
        <v>100</v>
      </c>
      <c r="F5" s="312">
        <v>100</v>
      </c>
      <c r="G5" s="312">
        <v>100</v>
      </c>
      <c r="H5" s="312">
        <v>100</v>
      </c>
      <c r="I5" s="312">
        <v>100</v>
      </c>
      <c r="J5" s="312">
        <v>100</v>
      </c>
      <c r="K5" s="312">
        <v>100</v>
      </c>
      <c r="L5" s="312">
        <v>100</v>
      </c>
      <c r="M5" s="312">
        <v>100</v>
      </c>
      <c r="N5" s="312">
        <v>100</v>
      </c>
      <c r="O5" s="312">
        <v>100</v>
      </c>
      <c r="P5" s="312">
        <v>100</v>
      </c>
      <c r="Q5" s="312">
        <v>100</v>
      </c>
      <c r="R5" s="312">
        <f t="shared" ref="R5:AB5" si="2">SUM(R11,R7,R9,R13,R15)</f>
        <v>100.00000000000001</v>
      </c>
      <c r="S5" s="312">
        <f t="shared" si="2"/>
        <v>100</v>
      </c>
      <c r="T5" s="312">
        <f t="shared" si="2"/>
        <v>99.999999999999986</v>
      </c>
      <c r="U5" s="312">
        <f t="shared" si="2"/>
        <v>99.999999999999986</v>
      </c>
      <c r="V5" s="312">
        <f t="shared" si="2"/>
        <v>100</v>
      </c>
      <c r="W5" s="312">
        <f t="shared" si="2"/>
        <v>100.00000000000001</v>
      </c>
      <c r="X5" s="312">
        <f t="shared" si="2"/>
        <v>100</v>
      </c>
      <c r="Y5" s="312">
        <f t="shared" si="2"/>
        <v>100</v>
      </c>
      <c r="Z5" s="312">
        <f t="shared" si="2"/>
        <v>100</v>
      </c>
      <c r="AA5" s="312">
        <f t="shared" si="2"/>
        <v>100</v>
      </c>
      <c r="AB5" s="312">
        <f t="shared" si="2"/>
        <v>100</v>
      </c>
      <c r="AC5" s="312">
        <f>SUM(AC11,AC7,AC9,AC13,AC15)</f>
        <v>100</v>
      </c>
      <c r="AD5" s="312">
        <f t="shared" si="1"/>
        <v>100</v>
      </c>
      <c r="AE5" s="312">
        <f t="shared" si="1"/>
        <v>100</v>
      </c>
      <c r="AF5" s="312">
        <f t="shared" si="1"/>
        <v>100</v>
      </c>
    </row>
    <row r="6" spans="1:33" ht="30" customHeight="1">
      <c r="A6" s="526" t="s">
        <v>414</v>
      </c>
      <c r="B6" s="166" t="s">
        <v>390</v>
      </c>
      <c r="C6" s="310">
        <v>1504</v>
      </c>
      <c r="D6" s="310">
        <v>1313</v>
      </c>
      <c r="E6" s="310">
        <v>191</v>
      </c>
      <c r="F6" s="310">
        <v>1607</v>
      </c>
      <c r="G6" s="310">
        <v>1317</v>
      </c>
      <c r="H6" s="310">
        <v>290</v>
      </c>
      <c r="I6" s="310">
        <v>1495</v>
      </c>
      <c r="J6" s="310">
        <v>1210</v>
      </c>
      <c r="K6" s="310">
        <v>285</v>
      </c>
      <c r="L6" s="310">
        <v>1702</v>
      </c>
      <c r="M6" s="310">
        <v>1444</v>
      </c>
      <c r="N6" s="310">
        <v>258</v>
      </c>
      <c r="O6" s="310">
        <v>1774</v>
      </c>
      <c r="P6" s="310">
        <v>1584</v>
      </c>
      <c r="Q6" s="310">
        <v>190</v>
      </c>
      <c r="R6" s="310">
        <v>1757</v>
      </c>
      <c r="S6" s="310">
        <v>1585</v>
      </c>
      <c r="T6" s="310">
        <v>172</v>
      </c>
      <c r="U6" s="310">
        <v>1830</v>
      </c>
      <c r="V6" s="310">
        <v>1671</v>
      </c>
      <c r="W6" s="310">
        <v>159</v>
      </c>
      <c r="X6" s="310">
        <v>1372</v>
      </c>
      <c r="Y6" s="310">
        <v>1240</v>
      </c>
      <c r="Z6" s="310">
        <v>132</v>
      </c>
      <c r="AA6" s="310">
        <v>1247</v>
      </c>
      <c r="AB6" s="310">
        <v>1160</v>
      </c>
      <c r="AC6" s="310">
        <v>87</v>
      </c>
      <c r="AD6" s="310">
        <v>1526</v>
      </c>
      <c r="AE6" s="310">
        <v>1406</v>
      </c>
      <c r="AF6" s="310">
        <v>120</v>
      </c>
    </row>
    <row r="7" spans="1:33" ht="30" customHeight="1">
      <c r="A7" s="526"/>
      <c r="B7" s="166" t="s">
        <v>75</v>
      </c>
      <c r="C7" s="312">
        <v>43.771827706635626</v>
      </c>
      <c r="D7" s="312">
        <v>44.904240766073869</v>
      </c>
      <c r="E7" s="312">
        <v>37.3046875</v>
      </c>
      <c r="F7" s="312">
        <v>44.331034482758618</v>
      </c>
      <c r="G7" s="312">
        <v>42.983028720626635</v>
      </c>
      <c r="H7" s="312">
        <v>51.693404634581107</v>
      </c>
      <c r="I7" s="312">
        <v>44.230769230769226</v>
      </c>
      <c r="J7" s="312">
        <v>41.839557399723375</v>
      </c>
      <c r="K7" s="312">
        <v>58.401639344262293</v>
      </c>
      <c r="L7" s="312">
        <v>55.277687560896396</v>
      </c>
      <c r="M7" s="312">
        <v>53.3826247689464</v>
      </c>
      <c r="N7" s="312">
        <v>68.983957219251337</v>
      </c>
      <c r="O7" s="312">
        <v>69.161793372319693</v>
      </c>
      <c r="P7" s="312">
        <v>69.995581087052585</v>
      </c>
      <c r="Q7" s="312">
        <v>62.913907284768214</v>
      </c>
      <c r="R7" s="312">
        <f t="shared" ref="R7:AC7" si="3">IFERROR(R6/R$4*100,"-")</f>
        <v>70.223820943245414</v>
      </c>
      <c r="S7" s="312">
        <f t="shared" si="3"/>
        <v>70.885509838998203</v>
      </c>
      <c r="T7" s="312">
        <f t="shared" si="3"/>
        <v>64.661654135338338</v>
      </c>
      <c r="U7" s="312">
        <f t="shared" si="3"/>
        <v>66.569661695161869</v>
      </c>
      <c r="V7" s="312">
        <f t="shared" si="3"/>
        <v>66.947115384615387</v>
      </c>
      <c r="W7" s="312">
        <f t="shared" si="3"/>
        <v>62.845849802371546</v>
      </c>
      <c r="X7" s="312">
        <f t="shared" si="3"/>
        <v>63.022508038585215</v>
      </c>
      <c r="Y7" s="312">
        <f t="shared" si="3"/>
        <v>63.104325699745544</v>
      </c>
      <c r="Z7" s="312">
        <f>IFERROR(Z6/Z$4*100,"-")</f>
        <v>62.264150943396224</v>
      </c>
      <c r="AA7" s="312">
        <f t="shared" si="3"/>
        <v>58.489681050656664</v>
      </c>
      <c r="AB7" s="312">
        <f t="shared" si="3"/>
        <v>59.670781893004111</v>
      </c>
      <c r="AC7" s="312">
        <f t="shared" si="3"/>
        <v>46.276595744680847</v>
      </c>
      <c r="AD7" s="312">
        <f>IFERROR(AD6/AD$4*100,"-")</f>
        <v>61.557079467527231</v>
      </c>
      <c r="AE7" s="312">
        <f>IFERROR(AE6/AE$4*100,"-")</f>
        <v>61.693725318121984</v>
      </c>
      <c r="AF7" s="312">
        <f>IFERROR(AF6/AF$4*100,"-")</f>
        <v>60</v>
      </c>
    </row>
    <row r="8" spans="1:33" ht="30" customHeight="1">
      <c r="A8" s="526" t="s">
        <v>413</v>
      </c>
      <c r="B8" s="166" t="s">
        <v>390</v>
      </c>
      <c r="C8" s="310">
        <v>1771</v>
      </c>
      <c r="D8" s="310">
        <v>1469</v>
      </c>
      <c r="E8" s="310">
        <v>302</v>
      </c>
      <c r="F8" s="310">
        <v>1821</v>
      </c>
      <c r="G8" s="310">
        <v>1569</v>
      </c>
      <c r="H8" s="310">
        <v>252</v>
      </c>
      <c r="I8" s="310">
        <v>1690</v>
      </c>
      <c r="J8" s="310">
        <v>1507</v>
      </c>
      <c r="K8" s="310">
        <v>183</v>
      </c>
      <c r="L8" s="310">
        <v>1255</v>
      </c>
      <c r="M8" s="310">
        <v>1146</v>
      </c>
      <c r="N8" s="310">
        <v>109</v>
      </c>
      <c r="O8" s="310">
        <v>703</v>
      </c>
      <c r="P8" s="310">
        <v>606</v>
      </c>
      <c r="Q8" s="310">
        <v>97</v>
      </c>
      <c r="R8" s="310">
        <v>637</v>
      </c>
      <c r="S8" s="310">
        <v>559</v>
      </c>
      <c r="T8" s="310">
        <v>78</v>
      </c>
      <c r="U8" s="310">
        <v>792</v>
      </c>
      <c r="V8" s="310">
        <v>717</v>
      </c>
      <c r="W8" s="310">
        <v>75</v>
      </c>
      <c r="X8" s="310">
        <v>728</v>
      </c>
      <c r="Y8" s="310">
        <v>657</v>
      </c>
      <c r="Z8" s="310">
        <v>71</v>
      </c>
      <c r="AA8" s="310">
        <v>812</v>
      </c>
      <c r="AB8" s="310">
        <v>721</v>
      </c>
      <c r="AC8" s="310">
        <v>91</v>
      </c>
      <c r="AD8" s="310">
        <v>874</v>
      </c>
      <c r="AE8" s="310">
        <v>801</v>
      </c>
      <c r="AF8" s="310">
        <v>73</v>
      </c>
    </row>
    <row r="9" spans="1:33" ht="30" customHeight="1">
      <c r="A9" s="526"/>
      <c r="B9" s="166" t="s">
        <v>75</v>
      </c>
      <c r="C9" s="312">
        <v>51.542491268917345</v>
      </c>
      <c r="D9" s="312">
        <v>50.239398084815321</v>
      </c>
      <c r="E9" s="312">
        <v>58.984375</v>
      </c>
      <c r="F9" s="312">
        <v>50.234482758620693</v>
      </c>
      <c r="G9" s="312">
        <v>51.207571801566573</v>
      </c>
      <c r="H9" s="312">
        <v>44.919786096256686</v>
      </c>
      <c r="I9" s="312">
        <v>50</v>
      </c>
      <c r="J9" s="312">
        <v>52.109266943291843</v>
      </c>
      <c r="K9" s="312">
        <v>37.5</v>
      </c>
      <c r="L9" s="312">
        <v>40.75998700876908</v>
      </c>
      <c r="M9" s="312">
        <v>42.365988909426989</v>
      </c>
      <c r="N9" s="312">
        <v>29.144385026737968</v>
      </c>
      <c r="O9" s="312">
        <v>27.407407407407408</v>
      </c>
      <c r="P9" s="312">
        <v>26.778612461334511</v>
      </c>
      <c r="Q9" s="312">
        <v>32.119205298013242</v>
      </c>
      <c r="R9" s="312">
        <f t="shared" ref="R9:AC9" si="4">IFERROR(R8/R$4*100,"-")</f>
        <v>25.45963229416467</v>
      </c>
      <c r="S9" s="312">
        <f t="shared" si="4"/>
        <v>25</v>
      </c>
      <c r="T9" s="312">
        <f t="shared" si="4"/>
        <v>29.323308270676691</v>
      </c>
      <c r="U9" s="312">
        <f t="shared" si="4"/>
        <v>28.810476536922518</v>
      </c>
      <c r="V9" s="312">
        <f t="shared" si="4"/>
        <v>28.725961538461537</v>
      </c>
      <c r="W9" s="312">
        <f t="shared" si="4"/>
        <v>29.644268774703558</v>
      </c>
      <c r="X9" s="312">
        <f t="shared" si="4"/>
        <v>33.440514469453376</v>
      </c>
      <c r="Y9" s="312">
        <f t="shared" si="4"/>
        <v>33.435114503816791</v>
      </c>
      <c r="Z9" s="312">
        <f t="shared" si="4"/>
        <v>33.490566037735846</v>
      </c>
      <c r="AA9" s="312">
        <f t="shared" si="4"/>
        <v>38.086303939962477</v>
      </c>
      <c r="AB9" s="312">
        <f t="shared" si="4"/>
        <v>37.088477366255148</v>
      </c>
      <c r="AC9" s="312">
        <f t="shared" si="4"/>
        <v>48.404255319148938</v>
      </c>
      <c r="AD9" s="312">
        <f>IFERROR(AD8/AD$4*100,"-")</f>
        <v>35.256151674062117</v>
      </c>
      <c r="AE9" s="312">
        <f>IFERROR(AE8/AE$4*100,"-")</f>
        <v>35.146994295743752</v>
      </c>
      <c r="AF9" s="312">
        <f>IFERROR(AF8/AF$4*100,"-")</f>
        <v>36.5</v>
      </c>
    </row>
    <row r="10" spans="1:33" ht="30" customHeight="1">
      <c r="A10" s="526" t="s">
        <v>412</v>
      </c>
      <c r="B10" s="166" t="s">
        <v>390</v>
      </c>
      <c r="C10" s="310">
        <v>145</v>
      </c>
      <c r="D10" s="310">
        <v>129</v>
      </c>
      <c r="E10" s="310">
        <v>16</v>
      </c>
      <c r="F10" s="310">
        <v>175</v>
      </c>
      <c r="G10" s="310">
        <v>161</v>
      </c>
      <c r="H10" s="310">
        <v>14</v>
      </c>
      <c r="I10" s="310">
        <v>182</v>
      </c>
      <c r="J10" s="310">
        <v>168</v>
      </c>
      <c r="K10" s="310">
        <v>14</v>
      </c>
      <c r="L10" s="310">
        <v>104</v>
      </c>
      <c r="M10" s="310">
        <v>100</v>
      </c>
      <c r="N10" s="310">
        <v>4</v>
      </c>
      <c r="O10" s="310">
        <v>68</v>
      </c>
      <c r="P10" s="310">
        <v>54</v>
      </c>
      <c r="Q10" s="310">
        <v>14</v>
      </c>
      <c r="R10" s="310">
        <v>93</v>
      </c>
      <c r="S10" s="310">
        <v>78</v>
      </c>
      <c r="T10" s="310">
        <v>15</v>
      </c>
      <c r="U10" s="310">
        <v>119</v>
      </c>
      <c r="V10" s="310">
        <v>101</v>
      </c>
      <c r="W10" s="310">
        <v>18</v>
      </c>
      <c r="X10" s="310">
        <v>68</v>
      </c>
      <c r="Y10" s="310">
        <v>59</v>
      </c>
      <c r="Z10" s="310">
        <v>9</v>
      </c>
      <c r="AA10" s="310">
        <v>70</v>
      </c>
      <c r="AB10" s="310">
        <v>61</v>
      </c>
      <c r="AC10" s="310">
        <v>9</v>
      </c>
      <c r="AD10" s="310">
        <v>78</v>
      </c>
      <c r="AE10" s="310">
        <v>72</v>
      </c>
      <c r="AF10" s="310">
        <v>6</v>
      </c>
    </row>
    <row r="11" spans="1:33" ht="30" customHeight="1">
      <c r="A11" s="526"/>
      <c r="B11" s="166" t="s">
        <v>75</v>
      </c>
      <c r="C11" s="312">
        <v>4.2200232828870785</v>
      </c>
      <c r="D11" s="312">
        <v>4.4117647058823533</v>
      </c>
      <c r="E11" s="312">
        <v>3.125</v>
      </c>
      <c r="F11" s="312">
        <v>4.8275862068965516</v>
      </c>
      <c r="G11" s="312">
        <v>5.2545691906005221</v>
      </c>
      <c r="H11" s="312">
        <v>2.4955436720142603</v>
      </c>
      <c r="I11" s="312">
        <v>5.384615384615385</v>
      </c>
      <c r="J11" s="312">
        <v>5.809128630705394</v>
      </c>
      <c r="K11" s="312">
        <v>2.8688524590163933</v>
      </c>
      <c r="L11" s="312">
        <v>3.3777200389736932</v>
      </c>
      <c r="M11" s="312">
        <v>3.6968576709796674</v>
      </c>
      <c r="N11" s="312">
        <v>1.0695187165775399</v>
      </c>
      <c r="O11" s="312">
        <v>2.6510721247563351</v>
      </c>
      <c r="P11" s="312">
        <v>2.3862129916040651</v>
      </c>
      <c r="Q11" s="312">
        <v>4.6357615894039732</v>
      </c>
      <c r="R11" s="312">
        <f t="shared" ref="R11:AC11" si="5">IFERROR(R10/R$4*100,"-")</f>
        <v>3.7170263788968825</v>
      </c>
      <c r="S11" s="312">
        <f t="shared" si="5"/>
        <v>3.4883720930232558</v>
      </c>
      <c r="T11" s="312">
        <f t="shared" si="5"/>
        <v>5.6390977443609023</v>
      </c>
      <c r="U11" s="312">
        <f t="shared" si="5"/>
        <v>4.3288468534012363</v>
      </c>
      <c r="V11" s="312">
        <f t="shared" si="5"/>
        <v>4.0464743589743595</v>
      </c>
      <c r="W11" s="312">
        <f t="shared" si="5"/>
        <v>7.1146245059288544</v>
      </c>
      <c r="X11" s="312">
        <f t="shared" si="5"/>
        <v>3.1235645383555348</v>
      </c>
      <c r="Y11" s="312">
        <f t="shared" si="5"/>
        <v>3.0025445292620865</v>
      </c>
      <c r="Z11" s="312">
        <f t="shared" si="5"/>
        <v>4.2452830188679247</v>
      </c>
      <c r="AA11" s="312">
        <f t="shared" si="5"/>
        <v>3.2833020637898689</v>
      </c>
      <c r="AB11" s="312">
        <f t="shared" si="5"/>
        <v>3.1378600823045271</v>
      </c>
      <c r="AC11" s="312">
        <f t="shared" si="5"/>
        <v>4.7872340425531918</v>
      </c>
      <c r="AD11" s="312">
        <f>IFERROR(AD10/AD$4*100,"-")</f>
        <v>3.146430012101654</v>
      </c>
      <c r="AE11" s="312">
        <f>IFERROR(AE10/AE$4*100,"-")</f>
        <v>3.1592803861342693</v>
      </c>
      <c r="AF11" s="312">
        <f>IFERROR(AF10/AF$4*100,"-")</f>
        <v>3</v>
      </c>
    </row>
    <row r="12" spans="1:33" ht="30" customHeight="1">
      <c r="A12" s="526" t="s">
        <v>411</v>
      </c>
      <c r="B12" s="166" t="s">
        <v>390</v>
      </c>
      <c r="C12" s="310">
        <v>15</v>
      </c>
      <c r="D12" s="310">
        <v>12</v>
      </c>
      <c r="E12" s="310">
        <v>3</v>
      </c>
      <c r="F12" s="310">
        <v>22</v>
      </c>
      <c r="G12" s="310">
        <v>17</v>
      </c>
      <c r="H12" s="310">
        <v>5</v>
      </c>
      <c r="I12" s="310">
        <v>13</v>
      </c>
      <c r="J12" s="310">
        <v>7</v>
      </c>
      <c r="K12" s="310">
        <v>6</v>
      </c>
      <c r="L12" s="310">
        <v>12</v>
      </c>
      <c r="M12" s="310">
        <v>10</v>
      </c>
      <c r="N12" s="310">
        <v>2</v>
      </c>
      <c r="O12" s="310">
        <v>10</v>
      </c>
      <c r="P12" s="310">
        <v>9</v>
      </c>
      <c r="Q12" s="310">
        <v>1</v>
      </c>
      <c r="R12" s="310">
        <v>6</v>
      </c>
      <c r="S12" s="310">
        <v>6</v>
      </c>
      <c r="T12" s="310">
        <v>0</v>
      </c>
      <c r="U12" s="310">
        <v>1</v>
      </c>
      <c r="V12" s="310">
        <v>1</v>
      </c>
      <c r="W12" s="310">
        <v>0</v>
      </c>
      <c r="X12" s="310">
        <v>5</v>
      </c>
      <c r="Y12" s="310">
        <v>5</v>
      </c>
      <c r="Z12" s="310">
        <v>0</v>
      </c>
      <c r="AA12" s="310">
        <v>2</v>
      </c>
      <c r="AB12" s="310">
        <v>2</v>
      </c>
      <c r="AC12" s="310">
        <v>0</v>
      </c>
      <c r="AD12" s="310">
        <v>1</v>
      </c>
      <c r="AE12" s="310">
        <v>0</v>
      </c>
      <c r="AF12" s="310">
        <v>1</v>
      </c>
    </row>
    <row r="13" spans="1:33" ht="30" customHeight="1">
      <c r="A13" s="526"/>
      <c r="B13" s="166" t="s">
        <v>75</v>
      </c>
      <c r="C13" s="312">
        <v>0.4365541327124563</v>
      </c>
      <c r="D13" s="312">
        <v>0.41039671682626538</v>
      </c>
      <c r="E13" s="312">
        <v>0.5859375</v>
      </c>
      <c r="F13" s="312">
        <v>0.60689655172413792</v>
      </c>
      <c r="G13" s="312">
        <v>0.55483028720626626</v>
      </c>
      <c r="H13" s="312">
        <v>0.89126559714795017</v>
      </c>
      <c r="I13" s="312">
        <v>0.38461538461538464</v>
      </c>
      <c r="J13" s="312">
        <v>0.24204702627939143</v>
      </c>
      <c r="K13" s="312">
        <v>1.2295081967213115</v>
      </c>
      <c r="L13" s="312">
        <v>0.38973692757388761</v>
      </c>
      <c r="M13" s="312">
        <v>0.36968576709796674</v>
      </c>
      <c r="N13" s="312">
        <v>0.53475935828876997</v>
      </c>
      <c r="O13" s="312">
        <v>0.38986354775828458</v>
      </c>
      <c r="P13" s="312">
        <v>0.3977021652673442</v>
      </c>
      <c r="Q13" s="312">
        <v>0.33112582781456956</v>
      </c>
      <c r="R13" s="312">
        <f t="shared" ref="R13:AC13" si="6">IFERROR(R12/R$4*100,"-")</f>
        <v>0.23980815347721821</v>
      </c>
      <c r="S13" s="312">
        <f t="shared" si="6"/>
        <v>0.26833631484794274</v>
      </c>
      <c r="T13" s="312">
        <f t="shared" si="6"/>
        <v>0</v>
      </c>
      <c r="U13" s="312">
        <f t="shared" si="6"/>
        <v>3.6376864314296105E-2</v>
      </c>
      <c r="V13" s="312">
        <f t="shared" si="6"/>
        <v>4.0064102564102561E-2</v>
      </c>
      <c r="W13" s="312">
        <f t="shared" si="6"/>
        <v>0</v>
      </c>
      <c r="X13" s="312">
        <f t="shared" si="6"/>
        <v>0.22967386311437757</v>
      </c>
      <c r="Y13" s="312">
        <f t="shared" si="6"/>
        <v>0.2544529262086514</v>
      </c>
      <c r="Z13" s="312">
        <f t="shared" si="6"/>
        <v>0</v>
      </c>
      <c r="AA13" s="312">
        <f t="shared" si="6"/>
        <v>9.3808630393996242E-2</v>
      </c>
      <c r="AB13" s="312">
        <f t="shared" si="6"/>
        <v>0.102880658436214</v>
      </c>
      <c r="AC13" s="312">
        <f t="shared" si="6"/>
        <v>0</v>
      </c>
      <c r="AD13" s="312">
        <f>IFERROR(AD12/AD$4*100,"-")</f>
        <v>4.0338846308995563E-2</v>
      </c>
      <c r="AE13" s="312">
        <f>IFERROR(AE12/AE$4*100,"-")</f>
        <v>0</v>
      </c>
      <c r="AF13" s="312">
        <f>IFERROR(AF12/AF$4*100,"-")</f>
        <v>0.5</v>
      </c>
    </row>
    <row r="14" spans="1:33" ht="30" customHeight="1">
      <c r="A14" s="526" t="s">
        <v>410</v>
      </c>
      <c r="B14" s="166" t="s">
        <v>390</v>
      </c>
      <c r="C14" s="310">
        <v>1</v>
      </c>
      <c r="D14" s="310">
        <v>1</v>
      </c>
      <c r="E14" s="310">
        <v>0</v>
      </c>
      <c r="F14" s="310">
        <v>0</v>
      </c>
      <c r="G14" s="310">
        <v>0</v>
      </c>
      <c r="H14" s="310">
        <v>0</v>
      </c>
      <c r="I14" s="310">
        <v>0</v>
      </c>
      <c r="J14" s="310">
        <v>0</v>
      </c>
      <c r="K14" s="310">
        <v>0</v>
      </c>
      <c r="L14" s="310">
        <v>6</v>
      </c>
      <c r="M14" s="310">
        <v>5</v>
      </c>
      <c r="N14" s="310">
        <v>1</v>
      </c>
      <c r="O14" s="310">
        <v>10</v>
      </c>
      <c r="P14" s="310">
        <v>10</v>
      </c>
      <c r="Q14" s="310">
        <v>0</v>
      </c>
      <c r="R14" s="310">
        <v>9</v>
      </c>
      <c r="S14" s="310">
        <v>8</v>
      </c>
      <c r="T14" s="310">
        <v>1</v>
      </c>
      <c r="U14" s="310">
        <v>7</v>
      </c>
      <c r="V14" s="310">
        <v>6</v>
      </c>
      <c r="W14" s="310">
        <v>1</v>
      </c>
      <c r="X14" s="310">
        <v>4</v>
      </c>
      <c r="Y14" s="310">
        <v>4</v>
      </c>
      <c r="Z14" s="310">
        <v>0</v>
      </c>
      <c r="AA14" s="310">
        <v>1</v>
      </c>
      <c r="AB14" s="310">
        <v>0</v>
      </c>
      <c r="AC14" s="310">
        <v>1</v>
      </c>
      <c r="AD14" s="310">
        <v>0</v>
      </c>
      <c r="AE14" s="310">
        <v>0</v>
      </c>
      <c r="AF14" s="310">
        <v>0</v>
      </c>
    </row>
    <row r="15" spans="1:33" ht="30" customHeight="1">
      <c r="A15" s="532"/>
      <c r="B15" s="162" t="s">
        <v>75</v>
      </c>
      <c r="C15" s="313">
        <v>2.9103608847497089E-2</v>
      </c>
      <c r="D15" s="313">
        <v>3.4199726402188782E-2</v>
      </c>
      <c r="E15" s="313">
        <v>0</v>
      </c>
      <c r="F15" s="313">
        <v>0</v>
      </c>
      <c r="G15" s="313">
        <v>0</v>
      </c>
      <c r="H15" s="313">
        <v>0</v>
      </c>
      <c r="I15" s="313">
        <v>0</v>
      </c>
      <c r="J15" s="313">
        <v>0</v>
      </c>
      <c r="K15" s="313">
        <v>0</v>
      </c>
      <c r="L15" s="313">
        <v>0.19486846378694381</v>
      </c>
      <c r="M15" s="313">
        <v>0.18484288354898337</v>
      </c>
      <c r="N15" s="313">
        <v>0.26737967914438499</v>
      </c>
      <c r="O15" s="313">
        <v>0.38986354775828458</v>
      </c>
      <c r="P15" s="313">
        <v>0.44189129474149363</v>
      </c>
      <c r="Q15" s="313">
        <v>0</v>
      </c>
      <c r="R15" s="313">
        <f t="shared" ref="R15:AC15" si="7">IFERROR(R14/R$4*100,"-")</f>
        <v>0.35971223021582738</v>
      </c>
      <c r="S15" s="313">
        <f t="shared" si="7"/>
        <v>0.35778175313059035</v>
      </c>
      <c r="T15" s="313">
        <f t="shared" si="7"/>
        <v>0.37593984962406013</v>
      </c>
      <c r="U15" s="313">
        <f t="shared" si="7"/>
        <v>0.25463805020007274</v>
      </c>
      <c r="V15" s="313">
        <f t="shared" si="7"/>
        <v>0.24038461538461539</v>
      </c>
      <c r="W15" s="313">
        <f t="shared" si="7"/>
        <v>0.39525691699604742</v>
      </c>
      <c r="X15" s="313">
        <f t="shared" si="7"/>
        <v>0.18373909049150206</v>
      </c>
      <c r="Y15" s="313">
        <f t="shared" si="7"/>
        <v>0.20356234096692111</v>
      </c>
      <c r="Z15" s="313">
        <f t="shared" si="7"/>
        <v>0</v>
      </c>
      <c r="AA15" s="313">
        <f t="shared" si="7"/>
        <v>4.6904315196998121E-2</v>
      </c>
      <c r="AB15" s="313">
        <f t="shared" si="7"/>
        <v>0</v>
      </c>
      <c r="AC15" s="313">
        <f t="shared" si="7"/>
        <v>0.53191489361702127</v>
      </c>
      <c r="AD15" s="314">
        <v>0</v>
      </c>
      <c r="AE15" s="314">
        <v>0</v>
      </c>
      <c r="AF15" s="314">
        <v>0</v>
      </c>
    </row>
    <row r="16" spans="1:33" ht="14.1" customHeight="1">
      <c r="A16" s="537" t="s">
        <v>389</v>
      </c>
      <c r="B16" s="537"/>
      <c r="C16" s="537"/>
      <c r="D16" s="537"/>
      <c r="E16" s="537"/>
      <c r="F16" s="537"/>
      <c r="G16" s="537"/>
      <c r="H16" s="537"/>
      <c r="I16" s="537"/>
      <c r="J16" s="537"/>
      <c r="K16" s="537"/>
      <c r="L16" s="537"/>
      <c r="M16" s="537"/>
      <c r="N16" s="537"/>
      <c r="O16" s="537"/>
      <c r="P16" s="537"/>
      <c r="Q16" s="537"/>
      <c r="R16" s="231"/>
      <c r="S16" s="231"/>
      <c r="T16" s="231"/>
      <c r="U16" s="231"/>
      <c r="V16" s="231"/>
      <c r="W16" s="231"/>
      <c r="X16" s="157"/>
      <c r="Y16" s="157"/>
      <c r="Z16" s="157"/>
      <c r="AA16" s="157"/>
      <c r="AB16" s="157"/>
      <c r="AC16" s="157"/>
      <c r="AD16" s="157"/>
      <c r="AE16" s="157"/>
      <c r="AF16" s="157"/>
    </row>
    <row r="17" spans="1:32" ht="31.5" customHeight="1">
      <c r="A17" s="520" t="s">
        <v>745</v>
      </c>
      <c r="B17" s="520"/>
      <c r="C17" s="520"/>
      <c r="D17" s="520"/>
      <c r="E17" s="520"/>
      <c r="F17" s="520"/>
      <c r="G17" s="520"/>
      <c r="H17" s="520"/>
      <c r="I17" s="520"/>
      <c r="J17" s="520"/>
      <c r="K17" s="520"/>
      <c r="L17" s="520"/>
      <c r="M17" s="520"/>
      <c r="N17" s="520"/>
      <c r="O17" s="520"/>
      <c r="P17" s="520"/>
      <c r="Q17" s="520"/>
      <c r="R17" s="157"/>
      <c r="S17" s="157"/>
      <c r="T17" s="157"/>
      <c r="U17" s="157"/>
      <c r="V17" s="157"/>
      <c r="W17" s="157"/>
      <c r="X17" s="157"/>
      <c r="Y17" s="157"/>
      <c r="Z17" s="157"/>
      <c r="AA17" s="157"/>
      <c r="AB17" s="157"/>
      <c r="AC17" s="157"/>
      <c r="AD17" s="157"/>
      <c r="AE17" s="157"/>
      <c r="AF17" s="157"/>
    </row>
    <row r="18" spans="1:32">
      <c r="A18" s="171"/>
      <c r="B18" s="166"/>
      <c r="C18" s="166"/>
      <c r="D18" s="166"/>
      <c r="E18" s="166"/>
      <c r="F18" s="166"/>
      <c r="G18" s="166"/>
      <c r="H18" s="166"/>
      <c r="I18" s="166"/>
      <c r="J18" s="166"/>
      <c r="K18" s="166"/>
      <c r="L18" s="166"/>
      <c r="M18" s="166"/>
      <c r="N18" s="166"/>
      <c r="O18" s="166"/>
      <c r="P18" s="166"/>
      <c r="Q18" s="166"/>
      <c r="R18" s="234"/>
      <c r="S18" s="234"/>
      <c r="T18" s="234"/>
      <c r="U18" s="234"/>
      <c r="V18" s="234"/>
      <c r="W18" s="234"/>
      <c r="X18" s="171"/>
      <c r="Y18" s="171"/>
      <c r="Z18" s="171"/>
      <c r="AA18" s="171"/>
      <c r="AB18" s="171"/>
      <c r="AC18" s="171"/>
      <c r="AD18" s="171"/>
      <c r="AE18" s="171"/>
      <c r="AF18" s="171"/>
    </row>
  </sheetData>
  <mergeCells count="20">
    <mergeCell ref="A4:A5"/>
    <mergeCell ref="A6:A7"/>
    <mergeCell ref="A17:Q17"/>
    <mergeCell ref="A16:Q16"/>
    <mergeCell ref="A8:A9"/>
    <mergeCell ref="A10:A11"/>
    <mergeCell ref="A12:A13"/>
    <mergeCell ref="A14:A15"/>
    <mergeCell ref="A1:AF1"/>
    <mergeCell ref="A2:B3"/>
    <mergeCell ref="R2:T2"/>
    <mergeCell ref="U2:W2"/>
    <mergeCell ref="X2:Z2"/>
    <mergeCell ref="AA2:AC2"/>
    <mergeCell ref="AD2:AF2"/>
    <mergeCell ref="C2:E2"/>
    <mergeCell ref="F2:H2"/>
    <mergeCell ref="I2:K2"/>
    <mergeCell ref="L2:N2"/>
    <mergeCell ref="O2:Q2"/>
  </mergeCells>
  <phoneticPr fontId="37" type="noConversion"/>
  <hyperlinks>
    <hyperlink ref="AG1" location="本篇表次!A1" display="回本篇表次"/>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G41"/>
  <sheetViews>
    <sheetView showGridLines="0" zoomScale="120" zoomScaleNormal="120" workbookViewId="0">
      <pane xSplit="2" ySplit="3" topLeftCell="C13" activePane="bottomRight" state="frozen"/>
      <selection sqref="A1:AE1"/>
      <selection pane="topRight" sqref="A1:AE1"/>
      <selection pane="bottomLeft" sqref="A1:AE1"/>
      <selection pane="bottomRight" sqref="A1:AE1"/>
    </sheetView>
  </sheetViews>
  <sheetFormatPr defaultColWidth="8.625" defaultRowHeight="16.5"/>
  <cols>
    <col min="1" max="1" width="22.75" bestFit="1" customWidth="1"/>
    <col min="2" max="2" width="5" bestFit="1" customWidth="1"/>
    <col min="3" max="32" width="8.125" customWidth="1"/>
    <col min="33" max="33" width="12.625" bestFit="1" customWidth="1"/>
  </cols>
  <sheetData>
    <row r="1" spans="1:33" ht="24.95" customHeight="1">
      <c r="A1" s="527" t="s">
        <v>749</v>
      </c>
      <c r="B1" s="527"/>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38"/>
      <c r="AE1" s="538"/>
      <c r="AF1" s="538"/>
      <c r="AG1" s="242" t="s">
        <v>548</v>
      </c>
    </row>
    <row r="2" spans="1:33" ht="18" customHeight="1">
      <c r="A2" s="534"/>
      <c r="B2" s="534"/>
      <c r="C2" s="529" t="s">
        <v>739</v>
      </c>
      <c r="D2" s="529"/>
      <c r="E2" s="529"/>
      <c r="F2" s="529" t="s">
        <v>740</v>
      </c>
      <c r="G2" s="529"/>
      <c r="H2" s="529"/>
      <c r="I2" s="529" t="s">
        <v>741</v>
      </c>
      <c r="J2" s="529"/>
      <c r="K2" s="529"/>
      <c r="L2" s="529" t="s">
        <v>742</v>
      </c>
      <c r="M2" s="529"/>
      <c r="N2" s="529"/>
      <c r="O2" s="529" t="s">
        <v>743</v>
      </c>
      <c r="P2" s="529"/>
      <c r="Q2" s="529"/>
      <c r="R2" s="529" t="s">
        <v>375</v>
      </c>
      <c r="S2" s="529"/>
      <c r="T2" s="529"/>
      <c r="U2" s="529" t="s">
        <v>163</v>
      </c>
      <c r="V2" s="529"/>
      <c r="W2" s="529"/>
      <c r="X2" s="529" t="s">
        <v>388</v>
      </c>
      <c r="Y2" s="529"/>
      <c r="Z2" s="529"/>
      <c r="AA2" s="529" t="s">
        <v>45</v>
      </c>
      <c r="AB2" s="529"/>
      <c r="AC2" s="529"/>
      <c r="AD2" s="529" t="s">
        <v>619</v>
      </c>
      <c r="AE2" s="529"/>
      <c r="AF2" s="529"/>
    </row>
    <row r="3" spans="1:33" ht="18" customHeight="1">
      <c r="A3" s="535"/>
      <c r="B3" s="535"/>
      <c r="C3" s="162" t="s">
        <v>428</v>
      </c>
      <c r="D3" s="169" t="s">
        <v>427</v>
      </c>
      <c r="E3" s="169" t="s">
        <v>426</v>
      </c>
      <c r="F3" s="162" t="s">
        <v>428</v>
      </c>
      <c r="G3" s="169" t="s">
        <v>427</v>
      </c>
      <c r="H3" s="169" t="s">
        <v>426</v>
      </c>
      <c r="I3" s="162" t="s">
        <v>428</v>
      </c>
      <c r="J3" s="169" t="s">
        <v>427</v>
      </c>
      <c r="K3" s="169" t="s">
        <v>426</v>
      </c>
      <c r="L3" s="162" t="s">
        <v>428</v>
      </c>
      <c r="M3" s="169" t="s">
        <v>427</v>
      </c>
      <c r="N3" s="169" t="s">
        <v>426</v>
      </c>
      <c r="O3" s="162" t="s">
        <v>428</v>
      </c>
      <c r="P3" s="169" t="s">
        <v>427</v>
      </c>
      <c r="Q3" s="169" t="s">
        <v>426</v>
      </c>
      <c r="R3" s="162" t="s">
        <v>428</v>
      </c>
      <c r="S3" s="169" t="s">
        <v>427</v>
      </c>
      <c r="T3" s="169" t="s">
        <v>426</v>
      </c>
      <c r="U3" s="162" t="s">
        <v>428</v>
      </c>
      <c r="V3" s="169" t="s">
        <v>427</v>
      </c>
      <c r="W3" s="169" t="s">
        <v>426</v>
      </c>
      <c r="X3" s="162" t="s">
        <v>428</v>
      </c>
      <c r="Y3" s="169" t="s">
        <v>427</v>
      </c>
      <c r="Z3" s="169" t="s">
        <v>426</v>
      </c>
      <c r="AA3" s="162" t="s">
        <v>428</v>
      </c>
      <c r="AB3" s="169" t="s">
        <v>427</v>
      </c>
      <c r="AC3" s="169" t="s">
        <v>426</v>
      </c>
      <c r="AD3" s="162" t="s">
        <v>428</v>
      </c>
      <c r="AE3" s="169" t="s">
        <v>427</v>
      </c>
      <c r="AF3" s="169" t="s">
        <v>426</v>
      </c>
    </row>
    <row r="4" spans="1:33" ht="15.95" customHeight="1">
      <c r="A4" s="535" t="s">
        <v>425</v>
      </c>
      <c r="B4" s="175" t="s">
        <v>417</v>
      </c>
      <c r="C4" s="315">
        <v>3436</v>
      </c>
      <c r="D4" s="315">
        <v>2924</v>
      </c>
      <c r="E4" s="315">
        <v>512</v>
      </c>
      <c r="F4" s="315">
        <v>3625</v>
      </c>
      <c r="G4" s="315">
        <v>3064</v>
      </c>
      <c r="H4" s="315">
        <v>561</v>
      </c>
      <c r="I4" s="315">
        <v>3380</v>
      </c>
      <c r="J4" s="315">
        <v>2892</v>
      </c>
      <c r="K4" s="315">
        <v>488</v>
      </c>
      <c r="L4" s="315">
        <v>3079</v>
      </c>
      <c r="M4" s="315">
        <v>2705</v>
      </c>
      <c r="N4" s="315">
        <v>374</v>
      </c>
      <c r="O4" s="315">
        <v>2565</v>
      </c>
      <c r="P4" s="315">
        <v>2263</v>
      </c>
      <c r="Q4" s="315">
        <v>302</v>
      </c>
      <c r="R4" s="315">
        <f t="shared" ref="R4:AF4" si="0">SUM(R16,R14,R20,R12,R18,R10,R22,R28,R6,R24,R30,R26,R8,R32,R34)</f>
        <v>2502</v>
      </c>
      <c r="S4" s="315">
        <f t="shared" si="0"/>
        <v>2236</v>
      </c>
      <c r="T4" s="315">
        <f t="shared" si="0"/>
        <v>266</v>
      </c>
      <c r="U4" s="315">
        <f t="shared" si="0"/>
        <v>2749</v>
      </c>
      <c r="V4" s="315">
        <f t="shared" si="0"/>
        <v>2496</v>
      </c>
      <c r="W4" s="315">
        <f t="shared" si="0"/>
        <v>253</v>
      </c>
      <c r="X4" s="315">
        <f t="shared" si="0"/>
        <v>2177</v>
      </c>
      <c r="Y4" s="315">
        <f t="shared" si="0"/>
        <v>1965</v>
      </c>
      <c r="Z4" s="316">
        <f t="shared" si="0"/>
        <v>212</v>
      </c>
      <c r="AA4" s="316">
        <f t="shared" si="0"/>
        <v>2132</v>
      </c>
      <c r="AB4" s="316">
        <f t="shared" si="0"/>
        <v>1944</v>
      </c>
      <c r="AC4" s="316">
        <f t="shared" si="0"/>
        <v>188</v>
      </c>
      <c r="AD4" s="316">
        <f t="shared" si="0"/>
        <v>2479</v>
      </c>
      <c r="AE4" s="316">
        <f t="shared" si="0"/>
        <v>2279</v>
      </c>
      <c r="AF4" s="316">
        <f t="shared" si="0"/>
        <v>200</v>
      </c>
    </row>
    <row r="5" spans="1:33" ht="15.95" customHeight="1">
      <c r="A5" s="535"/>
      <c r="B5" s="177" t="s">
        <v>75</v>
      </c>
      <c r="C5" s="317">
        <v>100</v>
      </c>
      <c r="D5" s="317">
        <v>100</v>
      </c>
      <c r="E5" s="317">
        <v>100</v>
      </c>
      <c r="F5" s="317">
        <v>100</v>
      </c>
      <c r="G5" s="317">
        <v>100</v>
      </c>
      <c r="H5" s="317">
        <v>100</v>
      </c>
      <c r="I5" s="317">
        <v>100</v>
      </c>
      <c r="J5" s="317">
        <v>100</v>
      </c>
      <c r="K5" s="317">
        <v>100</v>
      </c>
      <c r="L5" s="317">
        <v>100</v>
      </c>
      <c r="M5" s="317">
        <v>100</v>
      </c>
      <c r="N5" s="317">
        <v>100</v>
      </c>
      <c r="O5" s="317">
        <v>100</v>
      </c>
      <c r="P5" s="317">
        <v>100</v>
      </c>
      <c r="Q5" s="317">
        <v>100</v>
      </c>
      <c r="R5" s="317">
        <f t="shared" ref="R5:AF5" si="1">SUM(R7,R11,R9,R13,R15,R17,R21,R19,R25,R23,R27,R29,R31,R33,R35)</f>
        <v>100.00000000000001</v>
      </c>
      <c r="S5" s="317">
        <f t="shared" si="1"/>
        <v>100</v>
      </c>
      <c r="T5" s="317">
        <f t="shared" si="1"/>
        <v>100</v>
      </c>
      <c r="U5" s="317">
        <f t="shared" si="1"/>
        <v>100</v>
      </c>
      <c r="V5" s="317">
        <f t="shared" si="1"/>
        <v>100</v>
      </c>
      <c r="W5" s="317">
        <f t="shared" si="1"/>
        <v>99.999999999999986</v>
      </c>
      <c r="X5" s="317">
        <f t="shared" si="1"/>
        <v>100</v>
      </c>
      <c r="Y5" s="317">
        <f t="shared" si="1"/>
        <v>100.00000000000001</v>
      </c>
      <c r="Z5" s="317">
        <f t="shared" si="1"/>
        <v>100</v>
      </c>
      <c r="AA5" s="317">
        <f t="shared" si="1"/>
        <v>100</v>
      </c>
      <c r="AB5" s="317">
        <f t="shared" si="1"/>
        <v>100</v>
      </c>
      <c r="AC5" s="317">
        <f t="shared" si="1"/>
        <v>100</v>
      </c>
      <c r="AD5" s="317">
        <f t="shared" si="1"/>
        <v>99.999999999999986</v>
      </c>
      <c r="AE5" s="317">
        <f t="shared" si="1"/>
        <v>100</v>
      </c>
      <c r="AF5" s="317">
        <f t="shared" si="1"/>
        <v>100</v>
      </c>
    </row>
    <row r="6" spans="1:33" ht="15.95" customHeight="1">
      <c r="A6" s="535" t="s">
        <v>172</v>
      </c>
      <c r="B6" s="175" t="s">
        <v>417</v>
      </c>
      <c r="C6" s="315">
        <v>205</v>
      </c>
      <c r="D6" s="315">
        <v>178</v>
      </c>
      <c r="E6" s="315">
        <v>27</v>
      </c>
      <c r="F6" s="315">
        <v>296</v>
      </c>
      <c r="G6" s="315">
        <v>268</v>
      </c>
      <c r="H6" s="315">
        <v>28</v>
      </c>
      <c r="I6" s="315">
        <v>439</v>
      </c>
      <c r="J6" s="315">
        <v>405</v>
      </c>
      <c r="K6" s="315">
        <v>34</v>
      </c>
      <c r="L6" s="315">
        <v>520</v>
      </c>
      <c r="M6" s="315">
        <v>493</v>
      </c>
      <c r="N6" s="315">
        <v>27</v>
      </c>
      <c r="O6" s="315">
        <v>510</v>
      </c>
      <c r="P6" s="315">
        <v>469</v>
      </c>
      <c r="Q6" s="315">
        <v>41</v>
      </c>
      <c r="R6" s="315">
        <v>508</v>
      </c>
      <c r="S6" s="315">
        <v>464</v>
      </c>
      <c r="T6" s="315">
        <v>44</v>
      </c>
      <c r="U6" s="315">
        <v>544</v>
      </c>
      <c r="V6" s="315">
        <v>514</v>
      </c>
      <c r="W6" s="315">
        <v>30</v>
      </c>
      <c r="X6" s="315">
        <v>419</v>
      </c>
      <c r="Y6" s="315">
        <v>389</v>
      </c>
      <c r="Z6" s="315">
        <v>30</v>
      </c>
      <c r="AA6" s="315">
        <v>391</v>
      </c>
      <c r="AB6" s="315">
        <v>368</v>
      </c>
      <c r="AC6" s="315">
        <v>23</v>
      </c>
      <c r="AD6" s="315">
        <v>693</v>
      </c>
      <c r="AE6" s="315">
        <v>657</v>
      </c>
      <c r="AF6" s="315">
        <v>36</v>
      </c>
    </row>
    <row r="7" spans="1:33" ht="15.95" customHeight="1">
      <c r="A7" s="535"/>
      <c r="B7" s="177" t="s">
        <v>75</v>
      </c>
      <c r="C7" s="317">
        <v>5.9662398137369035</v>
      </c>
      <c r="D7" s="317">
        <v>6.0875512995896033</v>
      </c>
      <c r="E7" s="317">
        <v>5.2734375</v>
      </c>
      <c r="F7" s="317">
        <v>8.1655172413793107</v>
      </c>
      <c r="G7" s="317">
        <v>8.7467362924281993</v>
      </c>
      <c r="H7" s="317">
        <v>4.9910873440285206</v>
      </c>
      <c r="I7" s="317">
        <v>12.988165680473374</v>
      </c>
      <c r="J7" s="317">
        <v>14.004149377593361</v>
      </c>
      <c r="K7" s="317">
        <v>6.9672131147540979</v>
      </c>
      <c r="L7" s="317">
        <v>16.888600194868463</v>
      </c>
      <c r="M7" s="317">
        <v>18.225508317929759</v>
      </c>
      <c r="N7" s="317">
        <v>7.2192513368983953</v>
      </c>
      <c r="O7" s="317">
        <v>19.883040935672515</v>
      </c>
      <c r="P7" s="317">
        <v>20.72470172337605</v>
      </c>
      <c r="Q7" s="317">
        <v>13.576158940397351</v>
      </c>
      <c r="R7" s="317">
        <f t="shared" ref="R7:AC7" si="2">IFERROR(R6/R$4*100,"-")</f>
        <v>20.303756994404477</v>
      </c>
      <c r="S7" s="317">
        <f t="shared" si="2"/>
        <v>20.751341681574239</v>
      </c>
      <c r="T7" s="317">
        <f t="shared" si="2"/>
        <v>16.541353383458645</v>
      </c>
      <c r="U7" s="317">
        <f t="shared" si="2"/>
        <v>19.789014186977084</v>
      </c>
      <c r="V7" s="317">
        <f t="shared" si="2"/>
        <v>20.592948717948715</v>
      </c>
      <c r="W7" s="317">
        <f t="shared" si="2"/>
        <v>11.857707509881422</v>
      </c>
      <c r="X7" s="317">
        <f t="shared" si="2"/>
        <v>19.246669728984841</v>
      </c>
      <c r="Y7" s="317">
        <f t="shared" si="2"/>
        <v>19.796437659033078</v>
      </c>
      <c r="Z7" s="317">
        <f t="shared" si="2"/>
        <v>14.150943396226415</v>
      </c>
      <c r="AA7" s="317">
        <f t="shared" si="2"/>
        <v>18.339587242026269</v>
      </c>
      <c r="AB7" s="317">
        <f t="shared" si="2"/>
        <v>18.930041152263374</v>
      </c>
      <c r="AC7" s="317">
        <f t="shared" si="2"/>
        <v>12.23404255319149</v>
      </c>
      <c r="AD7" s="317">
        <f>IFERROR(AD6/AD$4*100,"-")</f>
        <v>27.954820492133926</v>
      </c>
      <c r="AE7" s="317">
        <f>IFERROR(AE6/AE$4*100,"-")</f>
        <v>28.828433523475212</v>
      </c>
      <c r="AF7" s="317">
        <f t="shared" ref="AF7" si="3">IFERROR(AF6/AF$4*100,"-")</f>
        <v>18</v>
      </c>
    </row>
    <row r="8" spans="1:33" ht="15.95" customHeight="1">
      <c r="A8" s="535" t="s">
        <v>171</v>
      </c>
      <c r="B8" s="175" t="s">
        <v>417</v>
      </c>
      <c r="C8" s="315">
        <v>346</v>
      </c>
      <c r="D8" s="315">
        <v>310</v>
      </c>
      <c r="E8" s="315">
        <v>36</v>
      </c>
      <c r="F8" s="315">
        <v>386</v>
      </c>
      <c r="G8" s="315">
        <v>351</v>
      </c>
      <c r="H8" s="315">
        <v>35</v>
      </c>
      <c r="I8" s="315">
        <v>373</v>
      </c>
      <c r="J8" s="315">
        <v>344</v>
      </c>
      <c r="K8" s="315">
        <v>29</v>
      </c>
      <c r="L8" s="315">
        <v>301</v>
      </c>
      <c r="M8" s="315">
        <v>279</v>
      </c>
      <c r="N8" s="315">
        <v>22</v>
      </c>
      <c r="O8" s="315">
        <v>278</v>
      </c>
      <c r="P8" s="315">
        <v>263</v>
      </c>
      <c r="Q8" s="315">
        <v>15</v>
      </c>
      <c r="R8" s="315">
        <v>358</v>
      </c>
      <c r="S8" s="315">
        <v>330</v>
      </c>
      <c r="T8" s="315">
        <v>28</v>
      </c>
      <c r="U8" s="315">
        <v>382</v>
      </c>
      <c r="V8" s="315">
        <v>338</v>
      </c>
      <c r="W8" s="315">
        <v>44</v>
      </c>
      <c r="X8" s="315">
        <v>312</v>
      </c>
      <c r="Y8" s="315">
        <v>269</v>
      </c>
      <c r="Z8" s="315">
        <v>43</v>
      </c>
      <c r="AA8" s="315">
        <v>337</v>
      </c>
      <c r="AB8" s="315">
        <v>315</v>
      </c>
      <c r="AC8" s="315">
        <v>22</v>
      </c>
      <c r="AD8" s="315">
        <v>330</v>
      </c>
      <c r="AE8" s="315">
        <v>296</v>
      </c>
      <c r="AF8" s="315">
        <v>34</v>
      </c>
    </row>
    <row r="9" spans="1:33" ht="15.95" customHeight="1">
      <c r="A9" s="535"/>
      <c r="B9" s="177" t="s">
        <v>75</v>
      </c>
      <c r="C9" s="317">
        <v>10.069848661233994</v>
      </c>
      <c r="D9" s="317">
        <v>10.601915184678523</v>
      </c>
      <c r="E9" s="317">
        <v>7.03125</v>
      </c>
      <c r="F9" s="317">
        <v>10.648275862068965</v>
      </c>
      <c r="G9" s="317">
        <v>11.455613577023499</v>
      </c>
      <c r="H9" s="317">
        <v>6.2388591800356501</v>
      </c>
      <c r="I9" s="317">
        <v>11.035502958579881</v>
      </c>
      <c r="J9" s="317">
        <v>11.89488243430152</v>
      </c>
      <c r="K9" s="317">
        <v>5.942622950819672</v>
      </c>
      <c r="L9" s="317">
        <v>9.7759012666450147</v>
      </c>
      <c r="M9" s="317">
        <v>10.314232902033272</v>
      </c>
      <c r="N9" s="317">
        <v>5.8823529411764701</v>
      </c>
      <c r="O9" s="317">
        <v>10.838206627680313</v>
      </c>
      <c r="P9" s="317">
        <v>11.621741051701282</v>
      </c>
      <c r="Q9" s="317">
        <v>4.9668874172185431</v>
      </c>
      <c r="R9" s="317">
        <f t="shared" ref="R9:AC9" si="4">IFERROR(R8/R$4*100,"-")</f>
        <v>14.308553157474021</v>
      </c>
      <c r="S9" s="317">
        <f t="shared" si="4"/>
        <v>14.75849731663685</v>
      </c>
      <c r="T9" s="317">
        <f t="shared" si="4"/>
        <v>10.526315789473683</v>
      </c>
      <c r="U9" s="317">
        <f t="shared" si="4"/>
        <v>13.895962168061113</v>
      </c>
      <c r="V9" s="317">
        <f t="shared" si="4"/>
        <v>13.541666666666666</v>
      </c>
      <c r="W9" s="317">
        <f t="shared" si="4"/>
        <v>17.391304347826086</v>
      </c>
      <c r="X9" s="317">
        <f t="shared" si="4"/>
        <v>14.331649058337161</v>
      </c>
      <c r="Y9" s="317">
        <f t="shared" si="4"/>
        <v>13.689567430025445</v>
      </c>
      <c r="Z9" s="317">
        <f t="shared" si="4"/>
        <v>20.283018867924529</v>
      </c>
      <c r="AA9" s="317">
        <f t="shared" si="4"/>
        <v>15.806754221388367</v>
      </c>
      <c r="AB9" s="317">
        <f t="shared" si="4"/>
        <v>16.203703703703702</v>
      </c>
      <c r="AC9" s="317">
        <f t="shared" si="4"/>
        <v>11.702127659574469</v>
      </c>
      <c r="AD9" s="317">
        <f>IFERROR(AD8/AD$4*100,"-")</f>
        <v>13.311819281968534</v>
      </c>
      <c r="AE9" s="317">
        <f t="shared" ref="AE9:AF9" si="5">IFERROR(AE8/AE$4*100,"-")</f>
        <v>12.988152698551996</v>
      </c>
      <c r="AF9" s="317">
        <f t="shared" si="5"/>
        <v>17</v>
      </c>
    </row>
    <row r="10" spans="1:33" ht="15.95" customHeight="1">
      <c r="A10" s="535" t="s">
        <v>180</v>
      </c>
      <c r="B10" s="175" t="s">
        <v>417</v>
      </c>
      <c r="C10" s="315">
        <v>735</v>
      </c>
      <c r="D10" s="315">
        <v>605</v>
      </c>
      <c r="E10" s="315">
        <v>130</v>
      </c>
      <c r="F10" s="315">
        <v>835</v>
      </c>
      <c r="G10" s="315">
        <v>645</v>
      </c>
      <c r="H10" s="315">
        <v>190</v>
      </c>
      <c r="I10" s="315">
        <v>753</v>
      </c>
      <c r="J10" s="315">
        <v>589</v>
      </c>
      <c r="K10" s="315">
        <v>164</v>
      </c>
      <c r="L10" s="315">
        <v>624</v>
      </c>
      <c r="M10" s="315">
        <v>503</v>
      </c>
      <c r="N10" s="315">
        <v>121</v>
      </c>
      <c r="O10" s="315">
        <v>437</v>
      </c>
      <c r="P10" s="315">
        <v>350</v>
      </c>
      <c r="Q10" s="315">
        <v>87</v>
      </c>
      <c r="R10" s="315">
        <v>369</v>
      </c>
      <c r="S10" s="315">
        <v>299</v>
      </c>
      <c r="T10" s="315">
        <v>70</v>
      </c>
      <c r="U10" s="315">
        <v>430</v>
      </c>
      <c r="V10" s="315">
        <v>384</v>
      </c>
      <c r="W10" s="315">
        <v>46</v>
      </c>
      <c r="X10" s="315">
        <v>346</v>
      </c>
      <c r="Y10" s="315">
        <v>303</v>
      </c>
      <c r="Z10" s="315">
        <v>43</v>
      </c>
      <c r="AA10" s="315">
        <v>262</v>
      </c>
      <c r="AB10" s="315">
        <v>238</v>
      </c>
      <c r="AC10" s="315">
        <v>24</v>
      </c>
      <c r="AD10" s="315">
        <v>276</v>
      </c>
      <c r="AE10" s="315">
        <v>253</v>
      </c>
      <c r="AF10" s="315">
        <v>23</v>
      </c>
    </row>
    <row r="11" spans="1:33" ht="15.95" customHeight="1">
      <c r="A11" s="535"/>
      <c r="B11" s="177" t="s">
        <v>75</v>
      </c>
      <c r="C11" s="317">
        <v>21.391152502910359</v>
      </c>
      <c r="D11" s="317">
        <v>20.690834473324212</v>
      </c>
      <c r="E11" s="317">
        <v>25.390625</v>
      </c>
      <c r="F11" s="317">
        <v>23.03448275862069</v>
      </c>
      <c r="G11" s="317">
        <v>21.050913838120106</v>
      </c>
      <c r="H11" s="317">
        <v>33.868092691622103</v>
      </c>
      <c r="I11" s="317">
        <v>22.278106508875737</v>
      </c>
      <c r="J11" s="317">
        <v>20.36652835408022</v>
      </c>
      <c r="K11" s="317">
        <v>33.606557377049178</v>
      </c>
      <c r="L11" s="317">
        <v>20.266320233842155</v>
      </c>
      <c r="M11" s="317">
        <v>18.595194085027728</v>
      </c>
      <c r="N11" s="317">
        <v>32.352941176470587</v>
      </c>
      <c r="O11" s="317">
        <v>17.037037037037038</v>
      </c>
      <c r="P11" s="317">
        <v>15.466195315952275</v>
      </c>
      <c r="Q11" s="317">
        <v>28.807947019867548</v>
      </c>
      <c r="R11" s="317">
        <f t="shared" ref="R11:AC11" si="6">IFERROR(R10/R$4*100,"-")</f>
        <v>14.748201438848922</v>
      </c>
      <c r="S11" s="317">
        <f t="shared" si="6"/>
        <v>13.372093023255813</v>
      </c>
      <c r="T11" s="317">
        <f t="shared" si="6"/>
        <v>26.315789473684209</v>
      </c>
      <c r="U11" s="317">
        <f t="shared" si="6"/>
        <v>15.642051655147327</v>
      </c>
      <c r="V11" s="317">
        <f t="shared" si="6"/>
        <v>15.384615384615385</v>
      </c>
      <c r="W11" s="317">
        <f t="shared" si="6"/>
        <v>18.181818181818183</v>
      </c>
      <c r="X11" s="317">
        <f t="shared" si="6"/>
        <v>15.893431327514929</v>
      </c>
      <c r="Y11" s="317">
        <f t="shared" si="6"/>
        <v>15.419847328244273</v>
      </c>
      <c r="Z11" s="317">
        <f t="shared" si="6"/>
        <v>20.283018867924529</v>
      </c>
      <c r="AA11" s="317">
        <f t="shared" si="6"/>
        <v>12.288930581613508</v>
      </c>
      <c r="AB11" s="317">
        <f t="shared" si="6"/>
        <v>12.242798353909464</v>
      </c>
      <c r="AC11" s="317">
        <f t="shared" si="6"/>
        <v>12.76595744680851</v>
      </c>
      <c r="AD11" s="317">
        <f>IFERROR(AD10/AD$4*100,"-")</f>
        <v>11.133521581282775</v>
      </c>
      <c r="AE11" s="317">
        <f t="shared" ref="AE11:AF11" si="7">IFERROR(AE10/AE$4*100,"-")</f>
        <v>11.101360245721807</v>
      </c>
      <c r="AF11" s="317">
        <f t="shared" si="7"/>
        <v>11.5</v>
      </c>
    </row>
    <row r="12" spans="1:33" ht="15.95" customHeight="1">
      <c r="A12" s="535" t="s">
        <v>173</v>
      </c>
      <c r="B12" s="175" t="s">
        <v>417</v>
      </c>
      <c r="C12" s="315">
        <v>775</v>
      </c>
      <c r="D12" s="315">
        <v>666</v>
      </c>
      <c r="E12" s="315">
        <v>109</v>
      </c>
      <c r="F12" s="315">
        <v>666</v>
      </c>
      <c r="G12" s="315">
        <v>558</v>
      </c>
      <c r="H12" s="315">
        <v>108</v>
      </c>
      <c r="I12" s="315">
        <v>562</v>
      </c>
      <c r="J12" s="315">
        <v>492</v>
      </c>
      <c r="K12" s="315">
        <v>70</v>
      </c>
      <c r="L12" s="315">
        <v>500</v>
      </c>
      <c r="M12" s="315">
        <v>441</v>
      </c>
      <c r="N12" s="315">
        <v>59</v>
      </c>
      <c r="O12" s="315">
        <v>415</v>
      </c>
      <c r="P12" s="315">
        <v>363</v>
      </c>
      <c r="Q12" s="315">
        <v>52</v>
      </c>
      <c r="R12" s="315">
        <v>451</v>
      </c>
      <c r="S12" s="315">
        <v>393</v>
      </c>
      <c r="T12" s="315">
        <v>58</v>
      </c>
      <c r="U12" s="315">
        <v>406</v>
      </c>
      <c r="V12" s="315">
        <v>364</v>
      </c>
      <c r="W12" s="315">
        <v>42</v>
      </c>
      <c r="X12" s="315">
        <v>248</v>
      </c>
      <c r="Y12" s="315">
        <v>214</v>
      </c>
      <c r="Z12" s="315">
        <v>34</v>
      </c>
      <c r="AA12" s="315">
        <v>244</v>
      </c>
      <c r="AB12" s="315">
        <v>204</v>
      </c>
      <c r="AC12" s="315">
        <v>40</v>
      </c>
      <c r="AD12" s="315">
        <v>263</v>
      </c>
      <c r="AE12" s="315">
        <v>226</v>
      </c>
      <c r="AF12" s="315">
        <v>37</v>
      </c>
    </row>
    <row r="13" spans="1:33" ht="15.95" customHeight="1">
      <c r="A13" s="535"/>
      <c r="B13" s="177" t="s">
        <v>75</v>
      </c>
      <c r="C13" s="317">
        <v>22.555296856810244</v>
      </c>
      <c r="D13" s="317">
        <v>22.77701778385773</v>
      </c>
      <c r="E13" s="317">
        <v>21.2890625</v>
      </c>
      <c r="F13" s="317">
        <v>18.372413793103448</v>
      </c>
      <c r="G13" s="317">
        <v>18.211488250652742</v>
      </c>
      <c r="H13" s="317">
        <v>19.251336898395721</v>
      </c>
      <c r="I13" s="317">
        <v>16.627218934911241</v>
      </c>
      <c r="J13" s="317">
        <v>17.012448132780083</v>
      </c>
      <c r="K13" s="317">
        <v>14.344262295081966</v>
      </c>
      <c r="L13" s="317">
        <v>16.239038648911986</v>
      </c>
      <c r="M13" s="317">
        <v>16.303142329020332</v>
      </c>
      <c r="N13" s="317">
        <v>15.775401069518717</v>
      </c>
      <c r="O13" s="317">
        <v>16.179337231968809</v>
      </c>
      <c r="P13" s="317">
        <v>16.040653999116216</v>
      </c>
      <c r="Q13" s="317">
        <v>17.218543046357617</v>
      </c>
      <c r="R13" s="317">
        <f t="shared" ref="R13:AF13" si="8">IFERROR(R12/R$4*100,"-")</f>
        <v>18.025579536370902</v>
      </c>
      <c r="S13" s="317">
        <f t="shared" si="8"/>
        <v>17.576028622540253</v>
      </c>
      <c r="T13" s="317">
        <f t="shared" si="8"/>
        <v>21.804511278195488</v>
      </c>
      <c r="U13" s="317">
        <f t="shared" si="8"/>
        <v>14.769006911604221</v>
      </c>
      <c r="V13" s="317">
        <f t="shared" si="8"/>
        <v>14.583333333333334</v>
      </c>
      <c r="W13" s="317">
        <f t="shared" si="8"/>
        <v>16.600790513833992</v>
      </c>
      <c r="X13" s="317">
        <f t="shared" si="8"/>
        <v>11.391823610473129</v>
      </c>
      <c r="Y13" s="317">
        <f t="shared" si="8"/>
        <v>10.89058524173028</v>
      </c>
      <c r="Z13" s="317">
        <f t="shared" si="8"/>
        <v>16.037735849056602</v>
      </c>
      <c r="AA13" s="317">
        <f t="shared" si="8"/>
        <v>11.444652908067541</v>
      </c>
      <c r="AB13" s="317">
        <f t="shared" si="8"/>
        <v>10.493827160493826</v>
      </c>
      <c r="AC13" s="317">
        <f t="shared" si="8"/>
        <v>21.276595744680851</v>
      </c>
      <c r="AD13" s="317">
        <f>IFERROR(AD12/AD$4*100,"-")</f>
        <v>10.609116579265834</v>
      </c>
      <c r="AE13" s="317">
        <f t="shared" si="8"/>
        <v>9.9166301009214575</v>
      </c>
      <c r="AF13" s="317">
        <f t="shared" si="8"/>
        <v>18.5</v>
      </c>
    </row>
    <row r="14" spans="1:33" ht="15.95" customHeight="1">
      <c r="A14" s="539" t="s">
        <v>424</v>
      </c>
      <c r="B14" s="175" t="s">
        <v>417</v>
      </c>
      <c r="C14" s="315">
        <v>188</v>
      </c>
      <c r="D14" s="315">
        <v>170</v>
      </c>
      <c r="E14" s="315">
        <v>18</v>
      </c>
      <c r="F14" s="315">
        <v>192</v>
      </c>
      <c r="G14" s="315">
        <v>174</v>
      </c>
      <c r="H14" s="315">
        <v>18</v>
      </c>
      <c r="I14" s="315">
        <v>151</v>
      </c>
      <c r="J14" s="315">
        <v>136</v>
      </c>
      <c r="K14" s="315">
        <v>15</v>
      </c>
      <c r="L14" s="315">
        <v>165</v>
      </c>
      <c r="M14" s="315">
        <v>148</v>
      </c>
      <c r="N14" s="315">
        <v>17</v>
      </c>
      <c r="O14" s="315">
        <v>147</v>
      </c>
      <c r="P14" s="315">
        <v>124</v>
      </c>
      <c r="Q14" s="315">
        <v>23</v>
      </c>
      <c r="R14" s="315">
        <v>131</v>
      </c>
      <c r="S14" s="315">
        <v>122</v>
      </c>
      <c r="T14" s="315">
        <v>9</v>
      </c>
      <c r="U14" s="315">
        <v>133</v>
      </c>
      <c r="V14" s="315">
        <v>124</v>
      </c>
      <c r="W14" s="315">
        <v>9</v>
      </c>
      <c r="X14" s="315">
        <v>103</v>
      </c>
      <c r="Y14" s="315">
        <v>94</v>
      </c>
      <c r="Z14" s="315">
        <v>9</v>
      </c>
      <c r="AA14" s="315">
        <v>122</v>
      </c>
      <c r="AB14" s="315">
        <v>112</v>
      </c>
      <c r="AC14" s="315">
        <v>10</v>
      </c>
      <c r="AD14" s="315">
        <v>104</v>
      </c>
      <c r="AE14" s="315">
        <v>97</v>
      </c>
      <c r="AF14" s="315">
        <v>7</v>
      </c>
    </row>
    <row r="15" spans="1:33" ht="15.95" customHeight="1">
      <c r="A15" s="539"/>
      <c r="B15" s="177" t="s">
        <v>75</v>
      </c>
      <c r="C15" s="317">
        <v>5.4714784633294533</v>
      </c>
      <c r="D15" s="317">
        <v>5.8139534883720927</v>
      </c>
      <c r="E15" s="317">
        <v>3.515625</v>
      </c>
      <c r="F15" s="317">
        <v>5.296551724137931</v>
      </c>
      <c r="G15" s="317">
        <v>5.6788511749347261</v>
      </c>
      <c r="H15" s="317">
        <v>3.2085561497326207</v>
      </c>
      <c r="I15" s="317">
        <v>4.4674556213017755</v>
      </c>
      <c r="J15" s="317">
        <v>4.7026279391424621</v>
      </c>
      <c r="K15" s="317">
        <v>3.0737704918032787</v>
      </c>
      <c r="L15" s="317">
        <v>5.3588827541409545</v>
      </c>
      <c r="M15" s="317">
        <v>5.4713493530499075</v>
      </c>
      <c r="N15" s="317">
        <v>4.5454545454545459</v>
      </c>
      <c r="O15" s="317">
        <v>5.730994152046784</v>
      </c>
      <c r="P15" s="317">
        <v>5.4794520547945202</v>
      </c>
      <c r="Q15" s="317">
        <v>7.6158940397350996</v>
      </c>
      <c r="R15" s="317">
        <f t="shared" ref="R15:AF15" si="9">IFERROR(R14/R$4*100,"-")</f>
        <v>5.2358113509192643</v>
      </c>
      <c r="S15" s="317">
        <f t="shared" si="9"/>
        <v>5.4561717352415027</v>
      </c>
      <c r="T15" s="317">
        <f t="shared" si="9"/>
        <v>3.3834586466165413</v>
      </c>
      <c r="U15" s="317">
        <f t="shared" si="9"/>
        <v>4.838122953801383</v>
      </c>
      <c r="V15" s="317">
        <f t="shared" si="9"/>
        <v>4.9679487179487181</v>
      </c>
      <c r="W15" s="317">
        <f t="shared" si="9"/>
        <v>3.5573122529644272</v>
      </c>
      <c r="X15" s="317">
        <f t="shared" si="9"/>
        <v>4.7312815801561783</v>
      </c>
      <c r="Y15" s="317">
        <f t="shared" si="9"/>
        <v>4.783715012722646</v>
      </c>
      <c r="Z15" s="317">
        <f t="shared" si="9"/>
        <v>4.2452830188679247</v>
      </c>
      <c r="AA15" s="317">
        <f t="shared" si="9"/>
        <v>5.7223264540337704</v>
      </c>
      <c r="AB15" s="317">
        <f t="shared" si="9"/>
        <v>5.761316872427984</v>
      </c>
      <c r="AC15" s="317">
        <f t="shared" si="9"/>
        <v>5.3191489361702127</v>
      </c>
      <c r="AD15" s="317">
        <f t="shared" si="9"/>
        <v>4.1952400161355392</v>
      </c>
      <c r="AE15" s="317">
        <f t="shared" si="9"/>
        <v>4.2562527424308909</v>
      </c>
      <c r="AF15" s="317">
        <f t="shared" si="9"/>
        <v>3.5000000000000004</v>
      </c>
    </row>
    <row r="16" spans="1:33" ht="15.95" customHeight="1">
      <c r="A16" s="540" t="s">
        <v>185</v>
      </c>
      <c r="B16" s="230" t="s">
        <v>417</v>
      </c>
      <c r="C16" s="315">
        <v>116</v>
      </c>
      <c r="D16" s="315">
        <v>108</v>
      </c>
      <c r="E16" s="315">
        <v>8</v>
      </c>
      <c r="F16" s="315">
        <v>109</v>
      </c>
      <c r="G16" s="315">
        <v>103</v>
      </c>
      <c r="H16" s="315">
        <v>6</v>
      </c>
      <c r="I16" s="315">
        <v>96</v>
      </c>
      <c r="J16" s="315">
        <v>93</v>
      </c>
      <c r="K16" s="315">
        <v>3</v>
      </c>
      <c r="L16" s="315">
        <v>91</v>
      </c>
      <c r="M16" s="315">
        <v>84</v>
      </c>
      <c r="N16" s="315">
        <v>7</v>
      </c>
      <c r="O16" s="315">
        <v>106</v>
      </c>
      <c r="P16" s="315">
        <v>103</v>
      </c>
      <c r="Q16" s="315">
        <v>3</v>
      </c>
      <c r="R16" s="315">
        <v>78</v>
      </c>
      <c r="S16" s="315">
        <v>75</v>
      </c>
      <c r="T16" s="315">
        <v>3</v>
      </c>
      <c r="U16" s="315">
        <v>104</v>
      </c>
      <c r="V16" s="315">
        <v>99</v>
      </c>
      <c r="W16" s="315">
        <v>5</v>
      </c>
      <c r="X16" s="315">
        <v>102</v>
      </c>
      <c r="Y16" s="315">
        <v>101</v>
      </c>
      <c r="Z16" s="315">
        <v>1</v>
      </c>
      <c r="AA16" s="315">
        <v>71</v>
      </c>
      <c r="AB16" s="315">
        <v>70</v>
      </c>
      <c r="AC16" s="315">
        <v>1</v>
      </c>
      <c r="AD16" s="315">
        <v>77</v>
      </c>
      <c r="AE16" s="315">
        <v>77</v>
      </c>
      <c r="AF16" s="315">
        <v>0</v>
      </c>
    </row>
    <row r="17" spans="1:32" ht="15.95" customHeight="1">
      <c r="A17" s="540"/>
      <c r="B17" s="177" t="s">
        <v>75</v>
      </c>
      <c r="C17" s="317">
        <v>3.3760186263096625</v>
      </c>
      <c r="D17" s="317">
        <v>3.6935704514363885</v>
      </c>
      <c r="E17" s="317">
        <v>1.5625</v>
      </c>
      <c r="F17" s="317">
        <v>3.0068965517241377</v>
      </c>
      <c r="G17" s="317">
        <v>3.3616187989556137</v>
      </c>
      <c r="H17" s="317">
        <v>1.0695187165775399</v>
      </c>
      <c r="I17" s="317">
        <v>2.8402366863905324</v>
      </c>
      <c r="J17" s="317">
        <v>3.2157676348547715</v>
      </c>
      <c r="K17" s="317">
        <v>0.61475409836065575</v>
      </c>
      <c r="L17" s="317">
        <v>2.9555050341019813</v>
      </c>
      <c r="M17" s="317">
        <v>3.1053604436229203</v>
      </c>
      <c r="N17" s="317">
        <v>1.8716577540106951</v>
      </c>
      <c r="O17" s="317">
        <v>4.132553606237817</v>
      </c>
      <c r="P17" s="317">
        <v>4.5514803358373834</v>
      </c>
      <c r="Q17" s="317">
        <v>0.99337748344370869</v>
      </c>
      <c r="R17" s="317">
        <f t="shared" ref="R17:AE17" si="10">IFERROR(R16/R$4*100,"-")</f>
        <v>3.1175059952038371</v>
      </c>
      <c r="S17" s="317">
        <f t="shared" si="10"/>
        <v>3.3542039355992843</v>
      </c>
      <c r="T17" s="317">
        <f t="shared" si="10"/>
        <v>1.1278195488721803</v>
      </c>
      <c r="U17" s="317">
        <f t="shared" si="10"/>
        <v>3.7831938886867951</v>
      </c>
      <c r="V17" s="317">
        <f t="shared" si="10"/>
        <v>3.9663461538461537</v>
      </c>
      <c r="W17" s="317">
        <f t="shared" si="10"/>
        <v>1.9762845849802373</v>
      </c>
      <c r="X17" s="317">
        <f t="shared" si="10"/>
        <v>4.6853468075333025</v>
      </c>
      <c r="Y17" s="317">
        <f t="shared" si="10"/>
        <v>5.1399491094147587</v>
      </c>
      <c r="Z17" s="317">
        <f t="shared" si="10"/>
        <v>0.47169811320754718</v>
      </c>
      <c r="AA17" s="317">
        <f t="shared" si="10"/>
        <v>3.3302063789868672</v>
      </c>
      <c r="AB17" s="317">
        <f t="shared" si="10"/>
        <v>3.6008230452674899</v>
      </c>
      <c r="AC17" s="317">
        <f t="shared" si="10"/>
        <v>0.53191489361702127</v>
      </c>
      <c r="AD17" s="317">
        <f t="shared" si="10"/>
        <v>3.1060911657926584</v>
      </c>
      <c r="AE17" s="317">
        <f t="shared" si="10"/>
        <v>3.3786748573935941</v>
      </c>
      <c r="AF17" s="315">
        <v>0</v>
      </c>
    </row>
    <row r="18" spans="1:32" ht="15.95" customHeight="1">
      <c r="A18" s="535" t="s">
        <v>177</v>
      </c>
      <c r="B18" s="175" t="s">
        <v>417</v>
      </c>
      <c r="C18" s="315">
        <v>38</v>
      </c>
      <c r="D18" s="315">
        <v>28</v>
      </c>
      <c r="E18" s="315">
        <v>10</v>
      </c>
      <c r="F18" s="315">
        <v>39</v>
      </c>
      <c r="G18" s="315">
        <v>35</v>
      </c>
      <c r="H18" s="315">
        <v>4</v>
      </c>
      <c r="I18" s="315">
        <v>65</v>
      </c>
      <c r="J18" s="315">
        <v>60</v>
      </c>
      <c r="K18" s="315">
        <v>5</v>
      </c>
      <c r="L18" s="315">
        <v>67</v>
      </c>
      <c r="M18" s="315">
        <v>59</v>
      </c>
      <c r="N18" s="315">
        <v>8</v>
      </c>
      <c r="O18" s="315">
        <v>58</v>
      </c>
      <c r="P18" s="315">
        <v>51</v>
      </c>
      <c r="Q18" s="315">
        <v>7</v>
      </c>
      <c r="R18" s="315">
        <v>76</v>
      </c>
      <c r="S18" s="315">
        <v>72</v>
      </c>
      <c r="T18" s="315">
        <v>4</v>
      </c>
      <c r="U18" s="315">
        <v>88</v>
      </c>
      <c r="V18" s="315">
        <v>82</v>
      </c>
      <c r="W18" s="315">
        <v>6</v>
      </c>
      <c r="X18" s="315">
        <v>70</v>
      </c>
      <c r="Y18" s="315">
        <v>66</v>
      </c>
      <c r="Z18" s="315">
        <v>4</v>
      </c>
      <c r="AA18" s="315">
        <v>98</v>
      </c>
      <c r="AB18" s="315">
        <v>90</v>
      </c>
      <c r="AC18" s="315">
        <v>8</v>
      </c>
      <c r="AD18" s="315">
        <v>76</v>
      </c>
      <c r="AE18" s="315">
        <v>71</v>
      </c>
      <c r="AF18" s="315">
        <v>5</v>
      </c>
    </row>
    <row r="19" spans="1:32" ht="15.95" customHeight="1">
      <c r="A19" s="535"/>
      <c r="B19" s="177" t="s">
        <v>75</v>
      </c>
      <c r="C19" s="317">
        <v>1.1059371362048895</v>
      </c>
      <c r="D19" s="317">
        <v>0.95759233926128595</v>
      </c>
      <c r="E19" s="317">
        <v>1.953125</v>
      </c>
      <c r="F19" s="317">
        <v>1.0758620689655174</v>
      </c>
      <c r="G19" s="317">
        <v>1.1422976501305482</v>
      </c>
      <c r="H19" s="317">
        <v>0.71301247771836007</v>
      </c>
      <c r="I19" s="317">
        <v>1.9230769230769231</v>
      </c>
      <c r="J19" s="317">
        <v>2.0746887966804977</v>
      </c>
      <c r="K19" s="317">
        <v>1.0245901639344261</v>
      </c>
      <c r="L19" s="317">
        <v>2.1760311789542057</v>
      </c>
      <c r="M19" s="317">
        <v>2.1811460258780038</v>
      </c>
      <c r="N19" s="317">
        <v>2.1390374331550799</v>
      </c>
      <c r="O19" s="317">
        <v>2.2612085769980506</v>
      </c>
      <c r="P19" s="317">
        <v>2.2536456031816177</v>
      </c>
      <c r="Q19" s="317">
        <v>2.3178807947019866</v>
      </c>
      <c r="R19" s="317">
        <f t="shared" ref="R19:AF19" si="11">IFERROR(R18/R$4*100,"-")</f>
        <v>3.0375699440447641</v>
      </c>
      <c r="S19" s="317">
        <f t="shared" si="11"/>
        <v>3.2200357781753133</v>
      </c>
      <c r="T19" s="317">
        <f t="shared" si="11"/>
        <v>1.5037593984962405</v>
      </c>
      <c r="U19" s="317">
        <f t="shared" si="11"/>
        <v>3.2011640596580579</v>
      </c>
      <c r="V19" s="317">
        <f t="shared" si="11"/>
        <v>3.2852564102564106</v>
      </c>
      <c r="W19" s="317">
        <f t="shared" si="11"/>
        <v>2.3715415019762842</v>
      </c>
      <c r="X19" s="317">
        <f t="shared" si="11"/>
        <v>3.215434083601286</v>
      </c>
      <c r="Y19" s="317">
        <f t="shared" si="11"/>
        <v>3.3587786259541987</v>
      </c>
      <c r="Z19" s="317">
        <f t="shared" si="11"/>
        <v>1.8867924528301887</v>
      </c>
      <c r="AA19" s="317">
        <f t="shared" si="11"/>
        <v>4.5966228893058156</v>
      </c>
      <c r="AB19" s="317">
        <f t="shared" si="11"/>
        <v>4.6296296296296298</v>
      </c>
      <c r="AC19" s="317">
        <f t="shared" si="11"/>
        <v>4.2553191489361701</v>
      </c>
      <c r="AD19" s="317">
        <f t="shared" si="11"/>
        <v>3.0657523194836629</v>
      </c>
      <c r="AE19" s="317">
        <f t="shared" si="11"/>
        <v>3.1154014918824044</v>
      </c>
      <c r="AF19" s="317">
        <f t="shared" si="11"/>
        <v>2.5</v>
      </c>
    </row>
    <row r="20" spans="1:32" ht="15.95" customHeight="1">
      <c r="A20" s="535" t="s">
        <v>176</v>
      </c>
      <c r="B20" s="175" t="s">
        <v>417</v>
      </c>
      <c r="C20" s="315">
        <v>108</v>
      </c>
      <c r="D20" s="315">
        <v>99</v>
      </c>
      <c r="E20" s="315">
        <v>9</v>
      </c>
      <c r="F20" s="315">
        <v>123</v>
      </c>
      <c r="G20" s="315">
        <v>107</v>
      </c>
      <c r="H20" s="315">
        <v>16</v>
      </c>
      <c r="I20" s="315">
        <v>123</v>
      </c>
      <c r="J20" s="315">
        <v>109</v>
      </c>
      <c r="K20" s="315">
        <v>14</v>
      </c>
      <c r="L20" s="315">
        <v>136</v>
      </c>
      <c r="M20" s="315">
        <v>116</v>
      </c>
      <c r="N20" s="315">
        <v>20</v>
      </c>
      <c r="O20" s="315">
        <v>98</v>
      </c>
      <c r="P20" s="315">
        <v>87</v>
      </c>
      <c r="Q20" s="315">
        <v>11</v>
      </c>
      <c r="R20" s="315">
        <v>106</v>
      </c>
      <c r="S20" s="315">
        <v>103</v>
      </c>
      <c r="T20" s="315">
        <v>3</v>
      </c>
      <c r="U20" s="315">
        <v>95</v>
      </c>
      <c r="V20" s="315">
        <v>84</v>
      </c>
      <c r="W20" s="315">
        <v>11</v>
      </c>
      <c r="X20" s="315">
        <v>83</v>
      </c>
      <c r="Y20" s="315">
        <v>79</v>
      </c>
      <c r="Z20" s="315">
        <v>4</v>
      </c>
      <c r="AA20" s="315">
        <v>66</v>
      </c>
      <c r="AB20" s="315">
        <v>59</v>
      </c>
      <c r="AC20" s="315">
        <v>7</v>
      </c>
      <c r="AD20" s="315">
        <v>59</v>
      </c>
      <c r="AE20" s="315">
        <v>50</v>
      </c>
      <c r="AF20" s="315">
        <v>9</v>
      </c>
    </row>
    <row r="21" spans="1:32" ht="15.95" customHeight="1">
      <c r="A21" s="535"/>
      <c r="B21" s="177" t="s">
        <v>75</v>
      </c>
      <c r="C21" s="317">
        <v>3.1431897555296859</v>
      </c>
      <c r="D21" s="317">
        <v>3.3857729138166897</v>
      </c>
      <c r="E21" s="317">
        <v>1.7578125</v>
      </c>
      <c r="F21" s="317">
        <v>3.3931034482758622</v>
      </c>
      <c r="G21" s="317">
        <v>3.4921671018276763</v>
      </c>
      <c r="H21" s="317">
        <v>2.8520499108734403</v>
      </c>
      <c r="I21" s="317">
        <v>3.63905325443787</v>
      </c>
      <c r="J21" s="317">
        <v>3.7690179806362378</v>
      </c>
      <c r="K21" s="317">
        <v>2.8688524590163933</v>
      </c>
      <c r="L21" s="317">
        <v>4.4170185125040593</v>
      </c>
      <c r="M21" s="317">
        <v>4.2883548983364141</v>
      </c>
      <c r="N21" s="317">
        <v>5.3475935828877006</v>
      </c>
      <c r="O21" s="317">
        <v>3.8206627680311889</v>
      </c>
      <c r="P21" s="317">
        <v>3.8444542642509938</v>
      </c>
      <c r="Q21" s="317">
        <v>3.6423841059602649</v>
      </c>
      <c r="R21" s="317">
        <f t="shared" ref="R21:AF21" si="12">IFERROR(R20/R$4*100,"-")</f>
        <v>4.2366107114308553</v>
      </c>
      <c r="S21" s="317">
        <f t="shared" si="12"/>
        <v>4.6064400715563512</v>
      </c>
      <c r="T21" s="317">
        <f t="shared" si="12"/>
        <v>1.1278195488721803</v>
      </c>
      <c r="U21" s="317">
        <f t="shared" si="12"/>
        <v>3.4558021098581304</v>
      </c>
      <c r="V21" s="317">
        <f t="shared" si="12"/>
        <v>3.3653846153846154</v>
      </c>
      <c r="W21" s="317">
        <f t="shared" si="12"/>
        <v>4.3478260869565215</v>
      </c>
      <c r="X21" s="317">
        <f t="shared" si="12"/>
        <v>3.8125861276986681</v>
      </c>
      <c r="Y21" s="317">
        <f t="shared" si="12"/>
        <v>4.0203562340966918</v>
      </c>
      <c r="Z21" s="317">
        <f t="shared" si="12"/>
        <v>1.8867924528301887</v>
      </c>
      <c r="AA21" s="317">
        <f t="shared" si="12"/>
        <v>3.095684803001876</v>
      </c>
      <c r="AB21" s="317">
        <f t="shared" si="12"/>
        <v>3.0349794238683128</v>
      </c>
      <c r="AC21" s="317">
        <f t="shared" si="12"/>
        <v>3.7234042553191489</v>
      </c>
      <c r="AD21" s="317">
        <f t="shared" si="12"/>
        <v>2.3799919322307383</v>
      </c>
      <c r="AE21" s="317">
        <f t="shared" si="12"/>
        <v>2.1939447125932423</v>
      </c>
      <c r="AF21" s="317">
        <f t="shared" si="12"/>
        <v>4.5</v>
      </c>
    </row>
    <row r="22" spans="1:32" ht="15.95" customHeight="1">
      <c r="A22" s="535" t="s">
        <v>422</v>
      </c>
      <c r="B22" s="175" t="s">
        <v>417</v>
      </c>
      <c r="C22" s="315">
        <v>48</v>
      </c>
      <c r="D22" s="315">
        <v>41</v>
      </c>
      <c r="E22" s="315">
        <v>7</v>
      </c>
      <c r="F22" s="315">
        <v>39</v>
      </c>
      <c r="G22" s="315">
        <v>36</v>
      </c>
      <c r="H22" s="315">
        <v>3</v>
      </c>
      <c r="I22" s="315">
        <v>31</v>
      </c>
      <c r="J22" s="315">
        <v>29</v>
      </c>
      <c r="K22" s="315">
        <v>2</v>
      </c>
      <c r="L22" s="315">
        <v>31</v>
      </c>
      <c r="M22" s="315">
        <v>30</v>
      </c>
      <c r="N22" s="315">
        <v>1</v>
      </c>
      <c r="O22" s="315">
        <v>42</v>
      </c>
      <c r="P22" s="315">
        <v>37</v>
      </c>
      <c r="Q22" s="315">
        <v>5</v>
      </c>
      <c r="R22" s="315">
        <v>42</v>
      </c>
      <c r="S22" s="315">
        <v>37</v>
      </c>
      <c r="T22" s="315">
        <v>5</v>
      </c>
      <c r="U22" s="315">
        <v>48</v>
      </c>
      <c r="V22" s="315">
        <v>45</v>
      </c>
      <c r="W22" s="315">
        <v>3</v>
      </c>
      <c r="X22" s="315">
        <v>23</v>
      </c>
      <c r="Y22" s="315">
        <v>23</v>
      </c>
      <c r="Z22" s="315">
        <v>0</v>
      </c>
      <c r="AA22" s="315">
        <v>20</v>
      </c>
      <c r="AB22" s="315">
        <v>20</v>
      </c>
      <c r="AC22" s="315">
        <v>0</v>
      </c>
      <c r="AD22" s="315">
        <v>46</v>
      </c>
      <c r="AE22" s="315">
        <v>42</v>
      </c>
      <c r="AF22" s="315">
        <v>4</v>
      </c>
    </row>
    <row r="23" spans="1:32" ht="15.95" customHeight="1">
      <c r="A23" s="535"/>
      <c r="B23" s="177" t="s">
        <v>75</v>
      </c>
      <c r="C23" s="317">
        <v>1.3969732246798603</v>
      </c>
      <c r="D23" s="317">
        <v>1.4021887824897401</v>
      </c>
      <c r="E23" s="317">
        <v>1.3671875</v>
      </c>
      <c r="F23" s="317">
        <v>1.0758620689655174</v>
      </c>
      <c r="G23" s="317">
        <v>1.1749347258485638</v>
      </c>
      <c r="H23" s="317">
        <v>0.53475935828876997</v>
      </c>
      <c r="I23" s="317">
        <v>0.91715976331360938</v>
      </c>
      <c r="J23" s="317">
        <v>1.0027662517289073</v>
      </c>
      <c r="K23" s="317">
        <v>0.4098360655737705</v>
      </c>
      <c r="L23" s="317">
        <v>1.006820396232543</v>
      </c>
      <c r="M23" s="317">
        <v>1.1090573012939002</v>
      </c>
      <c r="N23" s="317">
        <v>0.26737967914438499</v>
      </c>
      <c r="O23" s="317">
        <v>1.6374269005847955</v>
      </c>
      <c r="P23" s="317">
        <v>1.6349977905435262</v>
      </c>
      <c r="Q23" s="317">
        <v>1.6556291390728477</v>
      </c>
      <c r="R23" s="317">
        <f t="shared" ref="R23:Y23" si="13">IFERROR(R22/R$4*100,"-")</f>
        <v>1.6786570743405276</v>
      </c>
      <c r="S23" s="317">
        <f t="shared" si="13"/>
        <v>1.6547406082289804</v>
      </c>
      <c r="T23" s="317">
        <f t="shared" si="13"/>
        <v>1.8796992481203008</v>
      </c>
      <c r="U23" s="317">
        <f t="shared" si="13"/>
        <v>1.7460894870862129</v>
      </c>
      <c r="V23" s="317">
        <f t="shared" si="13"/>
        <v>1.8028846153846152</v>
      </c>
      <c r="W23" s="317">
        <f t="shared" si="13"/>
        <v>1.1857707509881421</v>
      </c>
      <c r="X23" s="317">
        <f t="shared" si="13"/>
        <v>1.056499770326137</v>
      </c>
      <c r="Y23" s="317">
        <f t="shared" si="13"/>
        <v>1.1704834605597965</v>
      </c>
      <c r="Z23" s="315">
        <v>0</v>
      </c>
      <c r="AA23" s="317">
        <f t="shared" ref="AA23:AF23" si="14">IFERROR(AA22/AA$4*100,"-")</f>
        <v>0.93808630393996251</v>
      </c>
      <c r="AB23" s="317">
        <f t="shared" si="14"/>
        <v>1.0288065843621399</v>
      </c>
      <c r="AC23" s="315">
        <f t="shared" si="14"/>
        <v>0</v>
      </c>
      <c r="AD23" s="317">
        <f t="shared" si="14"/>
        <v>1.8555869302137959</v>
      </c>
      <c r="AE23" s="317">
        <f t="shared" si="14"/>
        <v>1.8429135585783236</v>
      </c>
      <c r="AF23" s="317">
        <f t="shared" si="14"/>
        <v>2</v>
      </c>
    </row>
    <row r="24" spans="1:32" ht="15.95" customHeight="1">
      <c r="A24" s="535" t="s">
        <v>423</v>
      </c>
      <c r="B24" s="175" t="s">
        <v>417</v>
      </c>
      <c r="C24" s="315">
        <v>81</v>
      </c>
      <c r="D24" s="315">
        <v>77</v>
      </c>
      <c r="E24" s="315">
        <v>4</v>
      </c>
      <c r="F24" s="315">
        <v>80</v>
      </c>
      <c r="G24" s="315">
        <v>75</v>
      </c>
      <c r="H24" s="315">
        <v>5</v>
      </c>
      <c r="I24" s="315">
        <v>76</v>
      </c>
      <c r="J24" s="315">
        <v>68</v>
      </c>
      <c r="K24" s="315">
        <v>8</v>
      </c>
      <c r="L24" s="315">
        <v>59</v>
      </c>
      <c r="M24" s="315">
        <v>54</v>
      </c>
      <c r="N24" s="315">
        <v>5</v>
      </c>
      <c r="O24" s="315">
        <v>56</v>
      </c>
      <c r="P24" s="315">
        <v>53</v>
      </c>
      <c r="Q24" s="315">
        <v>3</v>
      </c>
      <c r="R24" s="315">
        <v>49</v>
      </c>
      <c r="S24" s="315">
        <v>45</v>
      </c>
      <c r="T24" s="315">
        <v>4</v>
      </c>
      <c r="U24" s="315">
        <v>33</v>
      </c>
      <c r="V24" s="315">
        <v>28</v>
      </c>
      <c r="W24" s="315">
        <v>5</v>
      </c>
      <c r="X24" s="315">
        <v>44</v>
      </c>
      <c r="Y24" s="315">
        <v>39</v>
      </c>
      <c r="Z24" s="315">
        <v>5</v>
      </c>
      <c r="AA24" s="315">
        <v>33</v>
      </c>
      <c r="AB24" s="315">
        <v>25</v>
      </c>
      <c r="AC24" s="315">
        <v>8</v>
      </c>
      <c r="AD24" s="315">
        <v>37</v>
      </c>
      <c r="AE24" s="315">
        <v>35</v>
      </c>
      <c r="AF24" s="315">
        <v>2</v>
      </c>
    </row>
    <row r="25" spans="1:32" ht="15.95" customHeight="1">
      <c r="A25" s="535"/>
      <c r="B25" s="177" t="s">
        <v>75</v>
      </c>
      <c r="C25" s="317">
        <v>2.3573923166472643</v>
      </c>
      <c r="D25" s="317">
        <v>2.6333789329685362</v>
      </c>
      <c r="E25" s="317">
        <v>0.78125</v>
      </c>
      <c r="F25" s="317">
        <v>2.2068965517241379</v>
      </c>
      <c r="G25" s="317">
        <v>2.4477806788511751</v>
      </c>
      <c r="H25" s="317">
        <v>0.89126559714795017</v>
      </c>
      <c r="I25" s="317">
        <v>2.2485207100591715</v>
      </c>
      <c r="J25" s="317">
        <v>2.3513139695712311</v>
      </c>
      <c r="K25" s="317">
        <v>1.639344262295082</v>
      </c>
      <c r="L25" s="317">
        <v>1.9162065605716143</v>
      </c>
      <c r="M25" s="317">
        <v>1.9963031423290205</v>
      </c>
      <c r="N25" s="317">
        <v>1.3368983957219251</v>
      </c>
      <c r="O25" s="317">
        <v>2.1832358674463941</v>
      </c>
      <c r="P25" s="317">
        <v>2.3420238621299161</v>
      </c>
      <c r="Q25" s="317">
        <v>0.99337748344370869</v>
      </c>
      <c r="R25" s="317">
        <f t="shared" ref="R25:AF25" si="15">IFERROR(R24/R$4*100,"-")</f>
        <v>1.9584332533972821</v>
      </c>
      <c r="S25" s="317">
        <f t="shared" si="15"/>
        <v>2.0125223613595709</v>
      </c>
      <c r="T25" s="317">
        <f t="shared" si="15"/>
        <v>1.5037593984962405</v>
      </c>
      <c r="U25" s="317">
        <f t="shared" si="15"/>
        <v>1.2004365223717717</v>
      </c>
      <c r="V25" s="317">
        <f t="shared" si="15"/>
        <v>1.1217948717948718</v>
      </c>
      <c r="W25" s="317">
        <f t="shared" si="15"/>
        <v>1.9762845849802373</v>
      </c>
      <c r="X25" s="317">
        <f t="shared" si="15"/>
        <v>2.0211299954065227</v>
      </c>
      <c r="Y25" s="317">
        <f t="shared" si="15"/>
        <v>1.9847328244274809</v>
      </c>
      <c r="Z25" s="317">
        <f t="shared" si="15"/>
        <v>2.358490566037736</v>
      </c>
      <c r="AA25" s="317">
        <f t="shared" si="15"/>
        <v>1.547842401500938</v>
      </c>
      <c r="AB25" s="317">
        <f t="shared" si="15"/>
        <v>1.286008230452675</v>
      </c>
      <c r="AC25" s="317">
        <f>IFERROR(AC24/AC$4*100,"-")</f>
        <v>4.2553191489361701</v>
      </c>
      <c r="AD25" s="317">
        <f t="shared" si="15"/>
        <v>1.4925373134328357</v>
      </c>
      <c r="AE25" s="317">
        <f t="shared" si="15"/>
        <v>1.5357612988152698</v>
      </c>
      <c r="AF25" s="317">
        <f t="shared" si="15"/>
        <v>1</v>
      </c>
    </row>
    <row r="26" spans="1:32" ht="15.95" customHeight="1">
      <c r="A26" s="535" t="s">
        <v>194</v>
      </c>
      <c r="B26" s="175" t="s">
        <v>417</v>
      </c>
      <c r="C26" s="315">
        <v>10</v>
      </c>
      <c r="D26" s="315">
        <v>9</v>
      </c>
      <c r="E26" s="315">
        <v>1</v>
      </c>
      <c r="F26" s="315">
        <v>25</v>
      </c>
      <c r="G26" s="315">
        <v>22</v>
      </c>
      <c r="H26" s="315">
        <v>3</v>
      </c>
      <c r="I26" s="315">
        <v>28</v>
      </c>
      <c r="J26" s="315">
        <v>28</v>
      </c>
      <c r="K26" s="315">
        <v>0</v>
      </c>
      <c r="L26" s="315">
        <v>34</v>
      </c>
      <c r="M26" s="315">
        <v>34</v>
      </c>
      <c r="N26" s="315">
        <v>0</v>
      </c>
      <c r="O26" s="315">
        <v>16</v>
      </c>
      <c r="P26" s="315">
        <v>16</v>
      </c>
      <c r="Q26" s="315">
        <v>0</v>
      </c>
      <c r="R26" s="315">
        <v>22</v>
      </c>
      <c r="S26" s="315">
        <v>20</v>
      </c>
      <c r="T26" s="315">
        <v>2</v>
      </c>
      <c r="U26" s="315">
        <v>34</v>
      </c>
      <c r="V26" s="315">
        <v>34</v>
      </c>
      <c r="W26" s="315">
        <v>0</v>
      </c>
      <c r="X26" s="315">
        <v>21</v>
      </c>
      <c r="Y26" s="315">
        <v>20</v>
      </c>
      <c r="Z26" s="315">
        <v>1</v>
      </c>
      <c r="AA26" s="315">
        <v>15</v>
      </c>
      <c r="AB26" s="315">
        <v>15</v>
      </c>
      <c r="AC26" s="315">
        <v>0</v>
      </c>
      <c r="AD26" s="315">
        <v>26</v>
      </c>
      <c r="AE26" s="315">
        <v>26</v>
      </c>
      <c r="AF26" s="315">
        <v>0</v>
      </c>
    </row>
    <row r="27" spans="1:32" ht="15.95" customHeight="1">
      <c r="A27" s="535"/>
      <c r="B27" s="177" t="s">
        <v>75</v>
      </c>
      <c r="C27" s="317">
        <v>0.29103608847497092</v>
      </c>
      <c r="D27" s="317">
        <v>0.30779753761969902</v>
      </c>
      <c r="E27" s="317">
        <v>0.1953125</v>
      </c>
      <c r="F27" s="317">
        <v>0.68965517241379315</v>
      </c>
      <c r="G27" s="317">
        <v>0.71801566579634468</v>
      </c>
      <c r="H27" s="317">
        <v>0.53475935828876997</v>
      </c>
      <c r="I27" s="317">
        <v>0.82840236686390534</v>
      </c>
      <c r="J27" s="317">
        <v>0.9681881051175657</v>
      </c>
      <c r="K27" s="315">
        <v>0</v>
      </c>
      <c r="L27" s="317">
        <v>1.1042546281260148</v>
      </c>
      <c r="M27" s="317">
        <v>1.2569316081330868</v>
      </c>
      <c r="N27" s="315">
        <v>0</v>
      </c>
      <c r="O27" s="317">
        <v>0.62378167641325533</v>
      </c>
      <c r="P27" s="317">
        <v>0.70702607158638975</v>
      </c>
      <c r="Q27" s="315">
        <v>0</v>
      </c>
      <c r="R27" s="317">
        <f t="shared" ref="R27:V27" si="16">IFERROR(R26/R$4*100,"-")</f>
        <v>0.87929656274980017</v>
      </c>
      <c r="S27" s="317">
        <f t="shared" si="16"/>
        <v>0.89445438282647582</v>
      </c>
      <c r="T27" s="317">
        <f t="shared" si="16"/>
        <v>0.75187969924812026</v>
      </c>
      <c r="U27" s="317">
        <f t="shared" si="16"/>
        <v>1.2368133866860678</v>
      </c>
      <c r="V27" s="317">
        <f t="shared" si="16"/>
        <v>1.3621794871794872</v>
      </c>
      <c r="W27" s="315">
        <v>0</v>
      </c>
      <c r="X27" s="317">
        <f>IFERROR(X26/X$4*100,"-")</f>
        <v>0.96463022508038598</v>
      </c>
      <c r="Y27" s="317">
        <f>IFERROR(Y26/Y$4*100,"-")</f>
        <v>1.0178117048346056</v>
      </c>
      <c r="Z27" s="317">
        <f>IFERROR(Z26/Z$4*100,"-")</f>
        <v>0.47169811320754718</v>
      </c>
      <c r="AA27" s="317">
        <f>IFERROR(AA26/AA$4*100,"-")</f>
        <v>0.70356472795497182</v>
      </c>
      <c r="AB27" s="317">
        <f>IFERROR(AB26/AB$4*100,"-")</f>
        <v>0.77160493827160492</v>
      </c>
      <c r="AC27" s="315">
        <v>0</v>
      </c>
      <c r="AD27" s="317">
        <f>IFERROR(AD26/AD$4*100,"-")</f>
        <v>1.0488100040338848</v>
      </c>
      <c r="AE27" s="317">
        <f t="shared" ref="AE27" si="17">IFERROR(AE26/AE$4*100,"-")</f>
        <v>1.1408512505484862</v>
      </c>
      <c r="AF27" s="315">
        <v>0</v>
      </c>
    </row>
    <row r="28" spans="1:32" ht="15.95" customHeight="1">
      <c r="A28" s="535" t="s">
        <v>421</v>
      </c>
      <c r="B28" s="175" t="s">
        <v>417</v>
      </c>
      <c r="C28" s="315">
        <v>11</v>
      </c>
      <c r="D28" s="315">
        <v>9</v>
      </c>
      <c r="E28" s="315">
        <v>2</v>
      </c>
      <c r="F28" s="315">
        <v>11</v>
      </c>
      <c r="G28" s="315">
        <v>9</v>
      </c>
      <c r="H28" s="315">
        <v>2</v>
      </c>
      <c r="I28" s="315">
        <v>5</v>
      </c>
      <c r="J28" s="315">
        <v>5</v>
      </c>
      <c r="K28" s="315">
        <v>0</v>
      </c>
      <c r="L28" s="315">
        <v>12</v>
      </c>
      <c r="M28" s="315">
        <v>12</v>
      </c>
      <c r="N28" s="315">
        <v>0</v>
      </c>
      <c r="O28" s="315">
        <v>10</v>
      </c>
      <c r="P28" s="315">
        <v>10</v>
      </c>
      <c r="Q28" s="315">
        <v>0</v>
      </c>
      <c r="R28" s="315">
        <v>15</v>
      </c>
      <c r="S28" s="315">
        <v>15</v>
      </c>
      <c r="T28" s="315">
        <v>0</v>
      </c>
      <c r="U28" s="315">
        <v>4</v>
      </c>
      <c r="V28" s="315">
        <v>3</v>
      </c>
      <c r="W28" s="315">
        <v>1</v>
      </c>
      <c r="X28" s="315">
        <v>6</v>
      </c>
      <c r="Y28" s="315">
        <v>6</v>
      </c>
      <c r="Z28" s="315">
        <v>0</v>
      </c>
      <c r="AA28" s="315">
        <v>5</v>
      </c>
      <c r="AB28" s="315">
        <v>5</v>
      </c>
      <c r="AC28" s="315">
        <v>0</v>
      </c>
      <c r="AD28" s="315">
        <v>4</v>
      </c>
      <c r="AE28" s="315">
        <v>4</v>
      </c>
      <c r="AF28" s="315">
        <v>0</v>
      </c>
    </row>
    <row r="29" spans="1:32" ht="15.95" customHeight="1">
      <c r="A29" s="535"/>
      <c r="B29" s="177" t="s">
        <v>75</v>
      </c>
      <c r="C29" s="317">
        <v>0.32013969732246794</v>
      </c>
      <c r="D29" s="317">
        <v>0.30779753761969902</v>
      </c>
      <c r="E29" s="323">
        <v>0.390625</v>
      </c>
      <c r="F29" s="317">
        <v>0.30344827586206896</v>
      </c>
      <c r="G29" s="317">
        <v>0.29373368146214096</v>
      </c>
      <c r="H29" s="323">
        <v>0.35650623885918004</v>
      </c>
      <c r="I29" s="317">
        <v>0.14792899408284024</v>
      </c>
      <c r="J29" s="317">
        <v>0.17289073305670816</v>
      </c>
      <c r="K29" s="315">
        <v>0</v>
      </c>
      <c r="L29" s="317">
        <v>0.38973692757388761</v>
      </c>
      <c r="M29" s="317">
        <v>0.44362292051756003</v>
      </c>
      <c r="N29" s="315">
        <v>0</v>
      </c>
      <c r="O29" s="317">
        <v>0.38986354775828458</v>
      </c>
      <c r="P29" s="317">
        <v>0.44189129474149363</v>
      </c>
      <c r="Q29" s="315">
        <v>0</v>
      </c>
      <c r="R29" s="317">
        <f t="shared" ref="R29:Y29" si="18">IFERROR(R28/R$4*100,"-")</f>
        <v>0.59952038369304561</v>
      </c>
      <c r="S29" s="317">
        <f t="shared" si="18"/>
        <v>0.67084078711985684</v>
      </c>
      <c r="T29" s="315">
        <f t="shared" si="18"/>
        <v>0</v>
      </c>
      <c r="U29" s="317">
        <f t="shared" si="18"/>
        <v>0.14550745725718442</v>
      </c>
      <c r="V29" s="317">
        <f t="shared" si="18"/>
        <v>0.1201923076923077</v>
      </c>
      <c r="W29" s="317">
        <f t="shared" si="18"/>
        <v>0.39525691699604742</v>
      </c>
      <c r="X29" s="317">
        <f t="shared" si="18"/>
        <v>0.27560863573725308</v>
      </c>
      <c r="Y29" s="317">
        <f t="shared" si="18"/>
        <v>0.30534351145038169</v>
      </c>
      <c r="Z29" s="315">
        <v>0</v>
      </c>
      <c r="AA29" s="317">
        <f>IFERROR(AA28/AA$4*100,"-")</f>
        <v>0.23452157598499063</v>
      </c>
      <c r="AB29" s="317">
        <f>IFERROR(AB28/AB$4*100,"-")</f>
        <v>0.25720164609053497</v>
      </c>
      <c r="AC29" s="315">
        <f>IFERROR(AC28/AC$4*100,"-")</f>
        <v>0</v>
      </c>
      <c r="AD29" s="317">
        <f>IFERROR(AD28/AD$4*100,"-")</f>
        <v>0.16135538523598225</v>
      </c>
      <c r="AE29" s="317">
        <f t="shared" ref="AE29" si="19">IFERROR(AE28/AE$4*100,"-")</f>
        <v>0.17551557700745943</v>
      </c>
      <c r="AF29" s="315">
        <v>0</v>
      </c>
    </row>
    <row r="30" spans="1:32" ht="15.95" customHeight="1">
      <c r="A30" s="540" t="s">
        <v>420</v>
      </c>
      <c r="B30" s="175" t="s">
        <v>417</v>
      </c>
      <c r="C30" s="315">
        <v>6</v>
      </c>
      <c r="D30" s="315">
        <v>5</v>
      </c>
      <c r="E30" s="315">
        <v>1</v>
      </c>
      <c r="F30" s="315">
        <v>6</v>
      </c>
      <c r="G30" s="315">
        <v>6</v>
      </c>
      <c r="H30" s="315">
        <v>0</v>
      </c>
      <c r="I30" s="315">
        <v>6</v>
      </c>
      <c r="J30" s="315">
        <v>6</v>
      </c>
      <c r="K30" s="315">
        <v>0</v>
      </c>
      <c r="L30" s="315">
        <v>2</v>
      </c>
      <c r="M30" s="315">
        <v>2</v>
      </c>
      <c r="N30" s="315">
        <v>0</v>
      </c>
      <c r="O30" s="315">
        <v>3</v>
      </c>
      <c r="P30" s="315">
        <v>3</v>
      </c>
      <c r="Q30" s="315">
        <v>0</v>
      </c>
      <c r="R30" s="315">
        <v>1</v>
      </c>
      <c r="S30" s="315">
        <v>1</v>
      </c>
      <c r="T30" s="315">
        <v>0</v>
      </c>
      <c r="U30" s="315">
        <v>2</v>
      </c>
      <c r="V30" s="315">
        <v>1</v>
      </c>
      <c r="W30" s="315">
        <v>1</v>
      </c>
      <c r="X30" s="315">
        <v>0</v>
      </c>
      <c r="Y30" s="315">
        <v>0</v>
      </c>
      <c r="Z30" s="315">
        <v>0</v>
      </c>
      <c r="AA30" s="315">
        <v>1</v>
      </c>
      <c r="AB30" s="315">
        <v>1</v>
      </c>
      <c r="AC30" s="315">
        <v>0</v>
      </c>
      <c r="AD30" s="315">
        <v>0</v>
      </c>
      <c r="AE30" s="315">
        <v>0</v>
      </c>
      <c r="AF30" s="315">
        <v>0</v>
      </c>
    </row>
    <row r="31" spans="1:32" ht="15.95" customHeight="1">
      <c r="A31" s="540"/>
      <c r="B31" s="177" t="s">
        <v>75</v>
      </c>
      <c r="C31" s="317">
        <v>0.17462165308498254</v>
      </c>
      <c r="D31" s="317">
        <v>0.1709986320109439</v>
      </c>
      <c r="E31" s="323">
        <v>0.1953125</v>
      </c>
      <c r="F31" s="317">
        <v>0.16551724137931034</v>
      </c>
      <c r="G31" s="317">
        <v>0.19582245430809397</v>
      </c>
      <c r="H31" s="315">
        <v>0</v>
      </c>
      <c r="I31" s="317">
        <v>0.17751479289940827</v>
      </c>
      <c r="J31" s="317">
        <v>0.2074688796680498</v>
      </c>
      <c r="K31" s="315">
        <v>0</v>
      </c>
      <c r="L31" s="317">
        <v>6.4956154595647936E-2</v>
      </c>
      <c r="M31" s="317">
        <v>7.3937153419593338E-2</v>
      </c>
      <c r="N31" s="315">
        <v>0</v>
      </c>
      <c r="O31" s="317">
        <v>0.11695906432748539</v>
      </c>
      <c r="P31" s="317">
        <v>0.13256738842244808</v>
      </c>
      <c r="Q31" s="315">
        <v>0</v>
      </c>
      <c r="R31" s="317">
        <f t="shared" ref="R31:W31" si="20">IFERROR(R30/R$4*100,"-")</f>
        <v>3.9968025579536368E-2</v>
      </c>
      <c r="S31" s="317">
        <f t="shared" si="20"/>
        <v>4.4722719141323794E-2</v>
      </c>
      <c r="T31" s="315">
        <f t="shared" si="20"/>
        <v>0</v>
      </c>
      <c r="U31" s="317">
        <f t="shared" si="20"/>
        <v>7.275372862859221E-2</v>
      </c>
      <c r="V31" s="317">
        <f t="shared" si="20"/>
        <v>4.0064102564102561E-2</v>
      </c>
      <c r="W31" s="317">
        <f t="shared" si="20"/>
        <v>0.39525691699604742</v>
      </c>
      <c r="X31" s="315">
        <v>0</v>
      </c>
      <c r="Y31" s="315">
        <v>0</v>
      </c>
      <c r="Z31" s="315">
        <v>0</v>
      </c>
      <c r="AA31" s="317">
        <f>AA30/AA4*100</f>
        <v>4.6904315196998121E-2</v>
      </c>
      <c r="AB31" s="317">
        <f>AB30/AB4*100</f>
        <v>5.1440329218106998E-2</v>
      </c>
      <c r="AC31" s="315">
        <v>0</v>
      </c>
      <c r="AD31" s="315">
        <v>0</v>
      </c>
      <c r="AE31" s="315">
        <v>0</v>
      </c>
      <c r="AF31" s="315">
        <v>0</v>
      </c>
    </row>
    <row r="32" spans="1:32" ht="15.95" customHeight="1">
      <c r="A32" s="535" t="s">
        <v>419</v>
      </c>
      <c r="B32" s="175" t="s">
        <v>417</v>
      </c>
      <c r="C32" s="315">
        <v>300</v>
      </c>
      <c r="D32" s="315">
        <v>259</v>
      </c>
      <c r="E32" s="315">
        <v>41</v>
      </c>
      <c r="F32" s="315">
        <v>288</v>
      </c>
      <c r="G32" s="315">
        <v>257</v>
      </c>
      <c r="H32" s="315">
        <v>31</v>
      </c>
      <c r="I32" s="315">
        <v>304</v>
      </c>
      <c r="J32" s="315">
        <v>265</v>
      </c>
      <c r="K32" s="315">
        <v>39</v>
      </c>
      <c r="L32" s="315">
        <v>334</v>
      </c>
      <c r="M32" s="315">
        <v>290</v>
      </c>
      <c r="N32" s="315">
        <v>44</v>
      </c>
      <c r="O32" s="315">
        <v>294</v>
      </c>
      <c r="P32" s="315">
        <v>260</v>
      </c>
      <c r="Q32" s="315">
        <v>34</v>
      </c>
      <c r="R32" s="315">
        <v>223</v>
      </c>
      <c r="S32" s="315">
        <v>202</v>
      </c>
      <c r="T32" s="315">
        <v>21</v>
      </c>
      <c r="U32" s="315">
        <v>346</v>
      </c>
      <c r="V32" s="315">
        <v>318</v>
      </c>
      <c r="W32" s="315">
        <v>28</v>
      </c>
      <c r="X32" s="315">
        <v>345</v>
      </c>
      <c r="Y32" s="315">
        <v>318</v>
      </c>
      <c r="Z32" s="315">
        <v>27</v>
      </c>
      <c r="AA32" s="315">
        <v>416</v>
      </c>
      <c r="AB32" s="315">
        <v>377</v>
      </c>
      <c r="AC32" s="315">
        <v>39</v>
      </c>
      <c r="AD32" s="315">
        <v>428</v>
      </c>
      <c r="AE32" s="315">
        <v>388</v>
      </c>
      <c r="AF32" s="315">
        <v>40</v>
      </c>
    </row>
    <row r="33" spans="1:32" ht="15.95" customHeight="1">
      <c r="A33" s="535"/>
      <c r="B33" s="177" t="s">
        <v>75</v>
      </c>
      <c r="C33" s="317">
        <v>8.7310826542491267</v>
      </c>
      <c r="D33" s="317">
        <v>8.8577291381668957</v>
      </c>
      <c r="E33" s="317">
        <v>8.0078125</v>
      </c>
      <c r="F33" s="317">
        <v>7.9448275862068973</v>
      </c>
      <c r="G33" s="317">
        <v>8.3877284595300257</v>
      </c>
      <c r="H33" s="317">
        <v>5.525846702317291</v>
      </c>
      <c r="I33" s="317">
        <v>8.9940828402366861</v>
      </c>
      <c r="J33" s="317">
        <v>9.1632088520055319</v>
      </c>
      <c r="K33" s="317">
        <v>7.9918032786885256</v>
      </c>
      <c r="L33" s="317">
        <v>10.847677817473206</v>
      </c>
      <c r="M33" s="317">
        <v>10.720887245841034</v>
      </c>
      <c r="N33" s="317">
        <v>11.76470588235294</v>
      </c>
      <c r="O33" s="317">
        <v>11.461988304093568</v>
      </c>
      <c r="P33" s="317">
        <v>11.489173663278834</v>
      </c>
      <c r="Q33" s="317">
        <v>11.258278145695364</v>
      </c>
      <c r="R33" s="317">
        <f t="shared" ref="R33:AC33" si="21">IFERROR(R32/R$4*100,"-")</f>
        <v>8.912869704236611</v>
      </c>
      <c r="S33" s="317">
        <f t="shared" si="21"/>
        <v>9.0339892665474064</v>
      </c>
      <c r="T33" s="317">
        <f t="shared" si="21"/>
        <v>7.8947368421052628</v>
      </c>
      <c r="U33" s="317">
        <f t="shared" si="21"/>
        <v>12.586395052746452</v>
      </c>
      <c r="V33" s="317">
        <f t="shared" si="21"/>
        <v>12.740384615384615</v>
      </c>
      <c r="W33" s="317">
        <f t="shared" si="21"/>
        <v>11.067193675889328</v>
      </c>
      <c r="X33" s="317">
        <f t="shared" si="21"/>
        <v>15.847496554892054</v>
      </c>
      <c r="Y33" s="317">
        <f t="shared" si="21"/>
        <v>16.18320610687023</v>
      </c>
      <c r="Z33" s="317">
        <f t="shared" si="21"/>
        <v>12.735849056603774</v>
      </c>
      <c r="AA33" s="317">
        <f t="shared" si="21"/>
        <v>19.512195121951219</v>
      </c>
      <c r="AB33" s="317">
        <f t="shared" si="21"/>
        <v>19.393004115226336</v>
      </c>
      <c r="AC33" s="317">
        <f t="shared" si="21"/>
        <v>20.74468085106383</v>
      </c>
      <c r="AD33" s="317">
        <f>IFERROR(AD32/AD$4*100,"-")</f>
        <v>17.2650262202501</v>
      </c>
      <c r="AE33" s="317">
        <f t="shared" ref="AE33:AF33" si="22">IFERROR(AE32/AE$4*100,"-")</f>
        <v>17.025010969723564</v>
      </c>
      <c r="AF33" s="317">
        <f t="shared" si="22"/>
        <v>20</v>
      </c>
    </row>
    <row r="34" spans="1:32" ht="15.95" customHeight="1">
      <c r="A34" s="535" t="s">
        <v>418</v>
      </c>
      <c r="B34" s="175" t="s">
        <v>417</v>
      </c>
      <c r="C34" s="315">
        <v>469</v>
      </c>
      <c r="D34" s="315">
        <v>360</v>
      </c>
      <c r="E34" s="315">
        <v>109</v>
      </c>
      <c r="F34" s="315">
        <v>530</v>
      </c>
      <c r="G34" s="315">
        <v>418</v>
      </c>
      <c r="H34" s="315">
        <v>112</v>
      </c>
      <c r="I34" s="315">
        <v>368</v>
      </c>
      <c r="J34" s="315">
        <v>263</v>
      </c>
      <c r="K34" s="315">
        <v>105</v>
      </c>
      <c r="L34" s="315">
        <v>203</v>
      </c>
      <c r="M34" s="315">
        <v>160</v>
      </c>
      <c r="N34" s="315">
        <v>43</v>
      </c>
      <c r="O34" s="315">
        <v>95</v>
      </c>
      <c r="P34" s="315">
        <v>74</v>
      </c>
      <c r="Q34" s="315">
        <v>21</v>
      </c>
      <c r="R34" s="315">
        <v>73</v>
      </c>
      <c r="S34" s="315">
        <v>58</v>
      </c>
      <c r="T34" s="315">
        <v>15</v>
      </c>
      <c r="U34" s="315">
        <v>100</v>
      </c>
      <c r="V34" s="315">
        <v>78</v>
      </c>
      <c r="W34" s="315">
        <v>22</v>
      </c>
      <c r="X34" s="315">
        <v>55</v>
      </c>
      <c r="Y34" s="315">
        <v>44</v>
      </c>
      <c r="Z34" s="315">
        <v>11</v>
      </c>
      <c r="AA34" s="315">
        <v>51</v>
      </c>
      <c r="AB34" s="315">
        <v>45</v>
      </c>
      <c r="AC34" s="315">
        <v>6</v>
      </c>
      <c r="AD34" s="315">
        <v>60</v>
      </c>
      <c r="AE34" s="315">
        <v>57</v>
      </c>
      <c r="AF34" s="315">
        <v>3</v>
      </c>
    </row>
    <row r="35" spans="1:32" ht="15.95" customHeight="1">
      <c r="A35" s="542"/>
      <c r="B35" s="173" t="s">
        <v>75</v>
      </c>
      <c r="C35" s="319">
        <v>13.649592549476136</v>
      </c>
      <c r="D35" s="319">
        <v>12.311901504787961</v>
      </c>
      <c r="E35" s="319">
        <v>21.2890625</v>
      </c>
      <c r="F35" s="319">
        <v>14.620689655172415</v>
      </c>
      <c r="G35" s="319">
        <v>13.642297650130548</v>
      </c>
      <c r="H35" s="319">
        <v>19.964349376114082</v>
      </c>
      <c r="I35" s="319">
        <v>10.88757396449704</v>
      </c>
      <c r="J35" s="319">
        <v>9.0940525587828489</v>
      </c>
      <c r="K35" s="319">
        <v>21.516393442622949</v>
      </c>
      <c r="L35" s="319">
        <v>6.5930496914582655</v>
      </c>
      <c r="M35" s="319">
        <v>5.9149722735674679</v>
      </c>
      <c r="N35" s="319">
        <v>11.497326203208557</v>
      </c>
      <c r="O35" s="319">
        <v>3.7037037037037033</v>
      </c>
      <c r="P35" s="319">
        <v>3.2699955810870525</v>
      </c>
      <c r="Q35" s="319">
        <v>6.9536423841059598</v>
      </c>
      <c r="R35" s="319">
        <f t="shared" ref="R35:AC35" si="23">IFERROR(R34/R$4*100,"-")</f>
        <v>2.9176658673061553</v>
      </c>
      <c r="S35" s="319">
        <f t="shared" si="23"/>
        <v>2.5939177101967799</v>
      </c>
      <c r="T35" s="319">
        <f t="shared" si="23"/>
        <v>5.6390977443609023</v>
      </c>
      <c r="U35" s="319">
        <f t="shared" si="23"/>
        <v>3.6376864314296107</v>
      </c>
      <c r="V35" s="319">
        <f t="shared" si="23"/>
        <v>3.125</v>
      </c>
      <c r="W35" s="319">
        <f t="shared" si="23"/>
        <v>8.695652173913043</v>
      </c>
      <c r="X35" s="319">
        <f t="shared" si="23"/>
        <v>2.5264124942581532</v>
      </c>
      <c r="Y35" s="319">
        <f t="shared" si="23"/>
        <v>2.2391857506361323</v>
      </c>
      <c r="Z35" s="319">
        <f t="shared" si="23"/>
        <v>5.1886792452830193</v>
      </c>
      <c r="AA35" s="319">
        <f t="shared" si="23"/>
        <v>2.3921200750469045</v>
      </c>
      <c r="AB35" s="319">
        <f t="shared" si="23"/>
        <v>2.3148148148148149</v>
      </c>
      <c r="AC35" s="319">
        <f t="shared" si="23"/>
        <v>3.1914893617021276</v>
      </c>
      <c r="AD35" s="319">
        <f>IFERROR(AD34/AD$4*100,"-")</f>
        <v>2.4203307785397339</v>
      </c>
      <c r="AE35" s="319">
        <f t="shared" ref="AE35:AF35" si="24">IFERROR(AE34/AE$4*100,"-")</f>
        <v>2.5010969723562968</v>
      </c>
      <c r="AF35" s="319">
        <f t="shared" si="24"/>
        <v>1.5</v>
      </c>
    </row>
    <row r="36" spans="1:32" ht="14.1" customHeight="1">
      <c r="A36" s="531" t="s">
        <v>378</v>
      </c>
      <c r="B36" s="531"/>
      <c r="C36" s="531"/>
      <c r="D36" s="531"/>
      <c r="E36" s="531"/>
      <c r="F36" s="531"/>
      <c r="G36" s="531"/>
      <c r="H36" s="531"/>
      <c r="I36" s="531"/>
      <c r="J36" s="531"/>
      <c r="K36" s="531"/>
      <c r="L36" s="531"/>
      <c r="M36" s="531"/>
      <c r="N36" s="157"/>
      <c r="O36" s="157"/>
      <c r="P36" s="157"/>
      <c r="Q36" s="157"/>
      <c r="R36" s="231"/>
      <c r="S36" s="231"/>
      <c r="T36" s="231"/>
      <c r="U36" s="231"/>
      <c r="V36" s="231"/>
      <c r="W36" s="231"/>
      <c r="X36" s="231"/>
      <c r="Y36" s="231"/>
      <c r="Z36" s="231"/>
      <c r="AA36" s="231"/>
      <c r="AB36" s="231"/>
      <c r="AC36" s="231"/>
      <c r="AD36" s="157"/>
      <c r="AE36" s="157"/>
      <c r="AF36" s="157"/>
    </row>
    <row r="37" spans="1:32">
      <c r="A37" s="541" t="s">
        <v>416</v>
      </c>
      <c r="B37" s="541"/>
      <c r="C37" s="541"/>
      <c r="D37" s="541"/>
      <c r="E37" s="541"/>
      <c r="F37" s="541"/>
      <c r="G37" s="541"/>
      <c r="H37" s="541"/>
      <c r="I37" s="541"/>
      <c r="J37" s="541"/>
      <c r="K37" s="541"/>
      <c r="L37" s="541"/>
      <c r="M37" s="541"/>
      <c r="N37" s="157"/>
      <c r="O37" s="157"/>
      <c r="P37" s="157"/>
      <c r="Q37" s="157"/>
      <c r="R37" s="157"/>
      <c r="S37" s="157"/>
      <c r="T37" s="157"/>
      <c r="U37" s="157"/>
      <c r="V37" s="157"/>
      <c r="W37" s="157"/>
      <c r="X37" s="157"/>
      <c r="Y37" s="157"/>
      <c r="Z37" s="157"/>
      <c r="AA37" s="157"/>
      <c r="AB37" s="157"/>
      <c r="AC37" s="157"/>
      <c r="AD37" s="157"/>
      <c r="AE37" s="157"/>
      <c r="AF37" s="157"/>
    </row>
    <row r="38" spans="1:32">
      <c r="A38" s="530" t="s">
        <v>415</v>
      </c>
      <c r="B38" s="530"/>
      <c r="C38" s="530"/>
      <c r="D38" s="530"/>
      <c r="E38" s="530"/>
      <c r="F38" s="530"/>
      <c r="G38" s="530"/>
      <c r="H38" s="530"/>
      <c r="I38" s="530"/>
      <c r="J38" s="530"/>
      <c r="K38" s="530"/>
      <c r="L38" s="530"/>
      <c r="M38" s="530"/>
      <c r="N38" s="232"/>
      <c r="O38" s="232"/>
      <c r="P38" s="232"/>
      <c r="Q38" s="232"/>
      <c r="R38" s="232"/>
      <c r="S38" s="232"/>
      <c r="T38" s="232"/>
      <c r="U38" s="232"/>
      <c r="V38" s="232"/>
      <c r="W38" s="232"/>
      <c r="X38" s="233"/>
      <c r="Y38" s="233"/>
      <c r="Z38" s="233"/>
      <c r="AA38" s="233"/>
      <c r="AB38" s="233"/>
      <c r="AC38" s="233"/>
      <c r="AD38" s="157"/>
      <c r="AE38" s="157"/>
      <c r="AF38" s="157"/>
    </row>
    <row r="39" spans="1:32">
      <c r="A39" s="171"/>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row>
    <row r="40" spans="1:32">
      <c r="A40" s="171"/>
      <c r="B40" s="171"/>
      <c r="C40" s="171"/>
      <c r="D40" s="171"/>
      <c r="E40" s="171"/>
      <c r="F40" s="171"/>
      <c r="G40" s="171"/>
      <c r="H40" s="171"/>
      <c r="I40" s="171"/>
      <c r="J40" s="171"/>
      <c r="K40" s="171"/>
      <c r="L40" s="171"/>
      <c r="M40" s="171"/>
      <c r="N40" s="171"/>
      <c r="O40" s="171"/>
      <c r="P40" s="171"/>
      <c r="Q40" s="171"/>
      <c r="R40" s="234"/>
      <c r="S40" s="176"/>
      <c r="T40" s="176"/>
      <c r="U40" s="176"/>
      <c r="V40" s="176"/>
      <c r="W40" s="176"/>
      <c r="X40" s="176"/>
      <c r="Y40" s="176"/>
      <c r="Z40" s="176"/>
      <c r="AA40" s="176"/>
      <c r="AB40" s="176"/>
      <c r="AC40" s="176"/>
      <c r="AD40" s="176"/>
      <c r="AE40" s="176"/>
      <c r="AF40" s="176"/>
    </row>
    <row r="41" spans="1:32">
      <c r="E41" s="328"/>
      <c r="H41" s="328"/>
      <c r="K41" s="328"/>
      <c r="N41" s="328"/>
      <c r="Q41" s="328"/>
      <c r="T41" s="328"/>
      <c r="W41" s="328"/>
      <c r="Z41" s="328"/>
      <c r="AC41" s="328"/>
      <c r="AF41" s="328"/>
    </row>
  </sheetData>
  <mergeCells count="31">
    <mergeCell ref="A38:M38"/>
    <mergeCell ref="A37:M37"/>
    <mergeCell ref="A36:M36"/>
    <mergeCell ref="A30:A31"/>
    <mergeCell ref="A32:A33"/>
    <mergeCell ref="A34:A35"/>
    <mergeCell ref="A26:A27"/>
    <mergeCell ref="A4:A5"/>
    <mergeCell ref="A28:A29"/>
    <mergeCell ref="A6:A7"/>
    <mergeCell ref="A10:A11"/>
    <mergeCell ref="A8:A9"/>
    <mergeCell ref="A12:A13"/>
    <mergeCell ref="A14:A15"/>
    <mergeCell ref="A16:A17"/>
    <mergeCell ref="A20:A21"/>
    <mergeCell ref="A18:A19"/>
    <mergeCell ref="A24:A25"/>
    <mergeCell ref="A22:A23"/>
    <mergeCell ref="A1:AF1"/>
    <mergeCell ref="R2:T2"/>
    <mergeCell ref="U2:W2"/>
    <mergeCell ref="X2:Z2"/>
    <mergeCell ref="AA2:AC2"/>
    <mergeCell ref="AD2:AF2"/>
    <mergeCell ref="C2:E2"/>
    <mergeCell ref="F2:H2"/>
    <mergeCell ref="I2:K2"/>
    <mergeCell ref="L2:N2"/>
    <mergeCell ref="O2:Q2"/>
    <mergeCell ref="A2:B3"/>
  </mergeCells>
  <phoneticPr fontId="37" type="noConversion"/>
  <hyperlinks>
    <hyperlink ref="AG1" location="本篇表次!A1" display="回本篇表次"/>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G16"/>
  <sheetViews>
    <sheetView showGridLines="0" zoomScale="90" zoomScaleNormal="90" workbookViewId="0">
      <selection sqref="A1:AE1"/>
    </sheetView>
  </sheetViews>
  <sheetFormatPr defaultColWidth="9.125" defaultRowHeight="16.5"/>
  <cols>
    <col min="1" max="1" width="13.5" customWidth="1"/>
    <col min="2" max="2" width="4.75" bestFit="1" customWidth="1"/>
    <col min="3" max="32" width="8.625" customWidth="1"/>
    <col min="33" max="33" width="12.625" bestFit="1" customWidth="1"/>
  </cols>
  <sheetData>
    <row r="1" spans="1:33" ht="30" customHeight="1">
      <c r="A1" s="543" t="s">
        <v>751</v>
      </c>
      <c r="B1" s="543"/>
      <c r="C1" s="543"/>
      <c r="D1" s="543"/>
      <c r="E1" s="543"/>
      <c r="F1" s="543"/>
      <c r="G1" s="543"/>
      <c r="H1" s="543"/>
      <c r="I1" s="543"/>
      <c r="J1" s="543"/>
      <c r="K1" s="543"/>
      <c r="L1" s="543"/>
      <c r="M1" s="543"/>
      <c r="N1" s="543"/>
      <c r="O1" s="543"/>
      <c r="P1" s="543"/>
      <c r="Q1" s="543"/>
      <c r="R1" s="543"/>
      <c r="S1" s="543"/>
      <c r="T1" s="543"/>
      <c r="U1" s="543"/>
      <c r="V1" s="543"/>
      <c r="W1" s="543"/>
      <c r="X1" s="543"/>
      <c r="Y1" s="543"/>
      <c r="Z1" s="543"/>
      <c r="AA1" s="543"/>
      <c r="AB1" s="543"/>
      <c r="AC1" s="543"/>
      <c r="AD1" s="544"/>
      <c r="AE1" s="544"/>
      <c r="AF1" s="544"/>
      <c r="AG1" s="242" t="s">
        <v>548</v>
      </c>
    </row>
    <row r="2" spans="1:33" ht="30" customHeight="1">
      <c r="A2" s="528"/>
      <c r="B2" s="528"/>
      <c r="C2" s="529" t="s">
        <v>739</v>
      </c>
      <c r="D2" s="529"/>
      <c r="E2" s="529"/>
      <c r="F2" s="529" t="s">
        <v>740</v>
      </c>
      <c r="G2" s="529"/>
      <c r="H2" s="529"/>
      <c r="I2" s="529" t="s">
        <v>741</v>
      </c>
      <c r="J2" s="529"/>
      <c r="K2" s="529"/>
      <c r="L2" s="529" t="s">
        <v>742</v>
      </c>
      <c r="M2" s="529"/>
      <c r="N2" s="529"/>
      <c r="O2" s="529" t="s">
        <v>743</v>
      </c>
      <c r="P2" s="529"/>
      <c r="Q2" s="529"/>
      <c r="R2" s="529" t="s">
        <v>375</v>
      </c>
      <c r="S2" s="529"/>
      <c r="T2" s="529"/>
      <c r="U2" s="529" t="s">
        <v>163</v>
      </c>
      <c r="V2" s="529"/>
      <c r="W2" s="529"/>
      <c r="X2" s="529" t="s">
        <v>388</v>
      </c>
      <c r="Y2" s="529"/>
      <c r="Z2" s="529"/>
      <c r="AA2" s="529" t="s">
        <v>45</v>
      </c>
      <c r="AB2" s="529"/>
      <c r="AC2" s="529"/>
      <c r="AD2" s="529" t="s">
        <v>619</v>
      </c>
      <c r="AE2" s="529"/>
      <c r="AF2" s="529"/>
    </row>
    <row r="3" spans="1:33" ht="30" customHeight="1">
      <c r="A3" s="526"/>
      <c r="B3" s="526"/>
      <c r="C3" s="162" t="s">
        <v>402</v>
      </c>
      <c r="D3" s="162" t="s">
        <v>401</v>
      </c>
      <c r="E3" s="162" t="s">
        <v>400</v>
      </c>
      <c r="F3" s="162" t="s">
        <v>402</v>
      </c>
      <c r="G3" s="162" t="s">
        <v>401</v>
      </c>
      <c r="H3" s="162" t="s">
        <v>400</v>
      </c>
      <c r="I3" s="162" t="s">
        <v>402</v>
      </c>
      <c r="J3" s="162" t="s">
        <v>401</v>
      </c>
      <c r="K3" s="162" t="s">
        <v>400</v>
      </c>
      <c r="L3" s="162" t="s">
        <v>402</v>
      </c>
      <c r="M3" s="162" t="s">
        <v>401</v>
      </c>
      <c r="N3" s="162" t="s">
        <v>400</v>
      </c>
      <c r="O3" s="162" t="s">
        <v>402</v>
      </c>
      <c r="P3" s="162" t="s">
        <v>401</v>
      </c>
      <c r="Q3" s="162" t="s">
        <v>400</v>
      </c>
      <c r="R3" s="162" t="s">
        <v>402</v>
      </c>
      <c r="S3" s="162" t="s">
        <v>401</v>
      </c>
      <c r="T3" s="162" t="s">
        <v>400</v>
      </c>
      <c r="U3" s="162" t="s">
        <v>402</v>
      </c>
      <c r="V3" s="162" t="s">
        <v>401</v>
      </c>
      <c r="W3" s="162" t="s">
        <v>400</v>
      </c>
      <c r="X3" s="169" t="s">
        <v>402</v>
      </c>
      <c r="Y3" s="169" t="s">
        <v>401</v>
      </c>
      <c r="Z3" s="169" t="s">
        <v>400</v>
      </c>
      <c r="AA3" s="169" t="s">
        <v>402</v>
      </c>
      <c r="AB3" s="169" t="s">
        <v>401</v>
      </c>
      <c r="AC3" s="169" t="s">
        <v>400</v>
      </c>
      <c r="AD3" s="169" t="s">
        <v>402</v>
      </c>
      <c r="AE3" s="169" t="s">
        <v>401</v>
      </c>
      <c r="AF3" s="169" t="s">
        <v>400</v>
      </c>
    </row>
    <row r="4" spans="1:33" ht="54" customHeight="1">
      <c r="A4" s="526" t="s">
        <v>432</v>
      </c>
      <c r="B4" s="181" t="s">
        <v>390</v>
      </c>
      <c r="C4" s="181">
        <v>786</v>
      </c>
      <c r="D4" s="181">
        <v>683</v>
      </c>
      <c r="E4" s="181">
        <v>103</v>
      </c>
      <c r="F4" s="181">
        <v>825</v>
      </c>
      <c r="G4" s="181">
        <v>724</v>
      </c>
      <c r="H4" s="181">
        <v>101</v>
      </c>
      <c r="I4" s="181">
        <v>833</v>
      </c>
      <c r="J4" s="181">
        <v>709</v>
      </c>
      <c r="K4" s="181">
        <v>124</v>
      </c>
      <c r="L4" s="181">
        <v>738</v>
      </c>
      <c r="M4" s="181">
        <v>636</v>
      </c>
      <c r="N4" s="181">
        <v>102</v>
      </c>
      <c r="O4" s="181">
        <v>475</v>
      </c>
      <c r="P4" s="181">
        <v>420</v>
      </c>
      <c r="Q4" s="181">
        <v>55</v>
      </c>
      <c r="R4" s="174">
        <f t="shared" ref="R4:AC4" si="0">SUM(R6,R8,R10)</f>
        <v>473</v>
      </c>
      <c r="S4" s="174">
        <f t="shared" si="0"/>
        <v>402</v>
      </c>
      <c r="T4" s="174">
        <f t="shared" si="0"/>
        <v>71</v>
      </c>
      <c r="U4" s="174">
        <f t="shared" si="0"/>
        <v>475</v>
      </c>
      <c r="V4" s="174">
        <f t="shared" si="0"/>
        <v>430</v>
      </c>
      <c r="W4" s="174">
        <f t="shared" si="0"/>
        <v>45</v>
      </c>
      <c r="X4" s="174">
        <f t="shared" si="0"/>
        <v>362</v>
      </c>
      <c r="Y4" s="174">
        <f t="shared" si="0"/>
        <v>331</v>
      </c>
      <c r="Z4" s="178">
        <f t="shared" si="0"/>
        <v>31</v>
      </c>
      <c r="AA4" s="174">
        <f>SUM(AA6,AA8,AA10)</f>
        <v>405</v>
      </c>
      <c r="AB4" s="174">
        <f t="shared" si="0"/>
        <v>378</v>
      </c>
      <c r="AC4" s="178">
        <f t="shared" si="0"/>
        <v>27</v>
      </c>
      <c r="AD4" s="174">
        <f t="shared" ref="AD4:AF5" si="1">SUM(AD6,AD8,AD10)</f>
        <v>408</v>
      </c>
      <c r="AE4" s="174">
        <f t="shared" si="1"/>
        <v>377</v>
      </c>
      <c r="AF4" s="178">
        <f t="shared" si="1"/>
        <v>31</v>
      </c>
    </row>
    <row r="5" spans="1:33" ht="54" customHeight="1">
      <c r="A5" s="526"/>
      <c r="B5" s="177" t="s">
        <v>75</v>
      </c>
      <c r="C5" s="177">
        <v>100</v>
      </c>
      <c r="D5" s="177">
        <v>100</v>
      </c>
      <c r="E5" s="177">
        <v>100</v>
      </c>
      <c r="F5" s="177">
        <v>100</v>
      </c>
      <c r="G5" s="177">
        <v>100</v>
      </c>
      <c r="H5" s="177">
        <v>100</v>
      </c>
      <c r="I5" s="177">
        <v>100</v>
      </c>
      <c r="J5" s="177">
        <v>100</v>
      </c>
      <c r="K5" s="177">
        <v>100</v>
      </c>
      <c r="L5" s="177">
        <v>100</v>
      </c>
      <c r="M5" s="177">
        <v>100</v>
      </c>
      <c r="N5" s="177">
        <v>100</v>
      </c>
      <c r="O5" s="177">
        <v>100</v>
      </c>
      <c r="P5" s="177">
        <v>100</v>
      </c>
      <c r="Q5" s="177">
        <v>100</v>
      </c>
      <c r="R5" s="176">
        <f t="shared" ref="R5:AB5" si="2">SUM(R7,R9,R11)</f>
        <v>100</v>
      </c>
      <c r="S5" s="176">
        <f t="shared" si="2"/>
        <v>100</v>
      </c>
      <c r="T5" s="176">
        <f t="shared" si="2"/>
        <v>100</v>
      </c>
      <c r="U5" s="176">
        <f t="shared" si="2"/>
        <v>100</v>
      </c>
      <c r="V5" s="176">
        <f t="shared" si="2"/>
        <v>100</v>
      </c>
      <c r="W5" s="176">
        <f t="shared" si="2"/>
        <v>100</v>
      </c>
      <c r="X5" s="176">
        <f t="shared" si="2"/>
        <v>100</v>
      </c>
      <c r="Y5" s="176">
        <f t="shared" si="2"/>
        <v>100</v>
      </c>
      <c r="Z5" s="176">
        <f t="shared" si="2"/>
        <v>100</v>
      </c>
      <c r="AA5" s="176">
        <f t="shared" si="2"/>
        <v>100</v>
      </c>
      <c r="AB5" s="176">
        <f t="shared" si="2"/>
        <v>100</v>
      </c>
      <c r="AC5" s="176">
        <f>SUM(AC7,AC9,AC11)</f>
        <v>100</v>
      </c>
      <c r="AD5" s="176">
        <f t="shared" si="1"/>
        <v>100</v>
      </c>
      <c r="AE5" s="176">
        <f t="shared" si="1"/>
        <v>100</v>
      </c>
      <c r="AF5" s="176">
        <f t="shared" si="1"/>
        <v>100</v>
      </c>
    </row>
    <row r="6" spans="1:33" ht="54" customHeight="1">
      <c r="A6" s="526" t="s">
        <v>431</v>
      </c>
      <c r="B6" s="181" t="s">
        <v>390</v>
      </c>
      <c r="C6" s="181">
        <v>394</v>
      </c>
      <c r="D6" s="181">
        <v>291</v>
      </c>
      <c r="E6" s="181">
        <v>103</v>
      </c>
      <c r="F6" s="181">
        <v>357</v>
      </c>
      <c r="G6" s="181">
        <v>256</v>
      </c>
      <c r="H6" s="181">
        <v>101</v>
      </c>
      <c r="I6" s="181">
        <v>369</v>
      </c>
      <c r="J6" s="181">
        <v>245</v>
      </c>
      <c r="K6" s="181">
        <v>124</v>
      </c>
      <c r="L6" s="181">
        <v>298</v>
      </c>
      <c r="M6" s="181">
        <v>196</v>
      </c>
      <c r="N6" s="181">
        <v>102</v>
      </c>
      <c r="O6" s="181">
        <v>163</v>
      </c>
      <c r="P6" s="181">
        <v>108</v>
      </c>
      <c r="Q6" s="181">
        <v>55</v>
      </c>
      <c r="R6" s="174">
        <v>209</v>
      </c>
      <c r="S6" s="174">
        <v>138</v>
      </c>
      <c r="T6" s="174">
        <v>71</v>
      </c>
      <c r="U6" s="174">
        <v>172</v>
      </c>
      <c r="V6" s="174">
        <v>127</v>
      </c>
      <c r="W6" s="174">
        <v>45</v>
      </c>
      <c r="X6" s="174">
        <v>141</v>
      </c>
      <c r="Y6" s="174">
        <v>110</v>
      </c>
      <c r="Z6" s="174">
        <v>31</v>
      </c>
      <c r="AA6" s="174">
        <v>154</v>
      </c>
      <c r="AB6" s="174">
        <v>127</v>
      </c>
      <c r="AC6" s="174">
        <v>27</v>
      </c>
      <c r="AD6" s="174">
        <v>185</v>
      </c>
      <c r="AE6" s="174">
        <v>154</v>
      </c>
      <c r="AF6" s="174">
        <v>31</v>
      </c>
    </row>
    <row r="7" spans="1:33" ht="54" customHeight="1">
      <c r="A7" s="526"/>
      <c r="B7" s="177" t="s">
        <v>75</v>
      </c>
      <c r="C7" s="177">
        <v>50.127226463104321</v>
      </c>
      <c r="D7" s="177">
        <v>42.606149341142022</v>
      </c>
      <c r="E7" s="177">
        <v>100</v>
      </c>
      <c r="F7" s="177">
        <v>43.272727272727273</v>
      </c>
      <c r="G7" s="177">
        <v>35.359116022099442</v>
      </c>
      <c r="H7" s="177">
        <v>100</v>
      </c>
      <c r="I7" s="177">
        <v>44.297719087635052</v>
      </c>
      <c r="J7" s="177">
        <v>34.555712270803951</v>
      </c>
      <c r="K7" s="177">
        <v>100</v>
      </c>
      <c r="L7" s="177">
        <v>40.379403794037941</v>
      </c>
      <c r="M7" s="177">
        <v>30.817610062893081</v>
      </c>
      <c r="N7" s="177">
        <v>100</v>
      </c>
      <c r="O7" s="177">
        <v>34.315789473684212</v>
      </c>
      <c r="P7" s="177">
        <v>25.714285714285712</v>
      </c>
      <c r="Q7" s="177">
        <v>100</v>
      </c>
      <c r="R7" s="176">
        <f t="shared" ref="R7:AC7" si="3">IFERROR(R6/R$4*100,"-")</f>
        <v>44.186046511627907</v>
      </c>
      <c r="S7" s="176">
        <f t="shared" si="3"/>
        <v>34.328358208955223</v>
      </c>
      <c r="T7" s="176">
        <f t="shared" si="3"/>
        <v>100</v>
      </c>
      <c r="U7" s="176">
        <f t="shared" si="3"/>
        <v>36.21052631578948</v>
      </c>
      <c r="V7" s="176">
        <f t="shared" si="3"/>
        <v>29.534883720930232</v>
      </c>
      <c r="W7" s="176">
        <f t="shared" si="3"/>
        <v>100</v>
      </c>
      <c r="X7" s="176">
        <f t="shared" si="3"/>
        <v>38.950276243093924</v>
      </c>
      <c r="Y7" s="176">
        <f t="shared" si="3"/>
        <v>33.23262839879154</v>
      </c>
      <c r="Z7" s="176">
        <f t="shared" si="3"/>
        <v>100</v>
      </c>
      <c r="AA7" s="176">
        <f t="shared" si="3"/>
        <v>38.02469135802469</v>
      </c>
      <c r="AB7" s="176">
        <f>IFERROR(AB6/AB$4*100,"-")</f>
        <v>33.597883597883602</v>
      </c>
      <c r="AC7" s="176">
        <f t="shared" si="3"/>
        <v>100</v>
      </c>
      <c r="AD7" s="176">
        <f>IFERROR(AD6/AD$4*100,"-")</f>
        <v>45.343137254901961</v>
      </c>
      <c r="AE7" s="176">
        <f>IFERROR(AE6/AE$4*100,"-")</f>
        <v>40.848806366047747</v>
      </c>
      <c r="AF7" s="176">
        <f>IFERROR(AF6/AF$4*100,"-")</f>
        <v>100</v>
      </c>
    </row>
    <row r="8" spans="1:33" ht="54" customHeight="1">
      <c r="A8" s="526" t="s">
        <v>430</v>
      </c>
      <c r="B8" s="181" t="s">
        <v>390</v>
      </c>
      <c r="C8" s="181">
        <v>241</v>
      </c>
      <c r="D8" s="181">
        <v>241</v>
      </c>
      <c r="E8" s="174" t="s">
        <v>49</v>
      </c>
      <c r="F8" s="181">
        <v>307</v>
      </c>
      <c r="G8" s="181">
        <v>307</v>
      </c>
      <c r="H8" s="174" t="s">
        <v>49</v>
      </c>
      <c r="I8" s="181">
        <v>309</v>
      </c>
      <c r="J8" s="181">
        <v>309</v>
      </c>
      <c r="K8" s="174" t="s">
        <v>49</v>
      </c>
      <c r="L8" s="181">
        <v>297</v>
      </c>
      <c r="M8" s="181">
        <v>297</v>
      </c>
      <c r="N8" s="174" t="s">
        <v>49</v>
      </c>
      <c r="O8" s="181">
        <v>172</v>
      </c>
      <c r="P8" s="181">
        <v>172</v>
      </c>
      <c r="Q8" s="174" t="s">
        <v>49</v>
      </c>
      <c r="R8" s="174">
        <v>155</v>
      </c>
      <c r="S8" s="174">
        <v>155</v>
      </c>
      <c r="T8" s="174" t="s">
        <v>49</v>
      </c>
      <c r="U8" s="174">
        <v>197</v>
      </c>
      <c r="V8" s="174">
        <v>197</v>
      </c>
      <c r="W8" s="174" t="s">
        <v>49</v>
      </c>
      <c r="X8" s="174">
        <v>120</v>
      </c>
      <c r="Y8" s="174">
        <v>120</v>
      </c>
      <c r="Z8" s="174" t="s">
        <v>49</v>
      </c>
      <c r="AA8" s="174">
        <v>152</v>
      </c>
      <c r="AB8" s="174">
        <v>152</v>
      </c>
      <c r="AC8" s="174" t="s">
        <v>220</v>
      </c>
      <c r="AD8" s="174">
        <v>134</v>
      </c>
      <c r="AE8" s="174">
        <v>134</v>
      </c>
      <c r="AF8" s="174">
        <v>0</v>
      </c>
    </row>
    <row r="9" spans="1:33" ht="54" customHeight="1">
      <c r="A9" s="526"/>
      <c r="B9" s="177" t="s">
        <v>75</v>
      </c>
      <c r="C9" s="177">
        <v>30.661577608142494</v>
      </c>
      <c r="D9" s="177">
        <v>35.28550512445095</v>
      </c>
      <c r="E9" s="176" t="str">
        <f t="shared" ref="E9" si="4">IFERROR(E8/E$4*100,"-")</f>
        <v>-</v>
      </c>
      <c r="F9" s="177">
        <v>37.212121212121211</v>
      </c>
      <c r="G9" s="177">
        <v>42.403314917127069</v>
      </c>
      <c r="H9" s="176" t="str">
        <f t="shared" ref="H9" si="5">IFERROR(H8/H$4*100,"-")</f>
        <v>-</v>
      </c>
      <c r="I9" s="177">
        <v>37.09483793517407</v>
      </c>
      <c r="J9" s="177">
        <v>43.582510578279269</v>
      </c>
      <c r="K9" s="176" t="str">
        <f t="shared" ref="K9" si="6">IFERROR(K8/K$4*100,"-")</f>
        <v>-</v>
      </c>
      <c r="L9" s="176">
        <v>40.243902439024396</v>
      </c>
      <c r="M9" s="176">
        <v>46.698113207547173</v>
      </c>
      <c r="N9" s="174" t="str">
        <f t="shared" ref="N9" si="7">IFERROR(N8/N$4*100,"-")</f>
        <v>-</v>
      </c>
      <c r="O9" s="176">
        <v>36.21052631578948</v>
      </c>
      <c r="P9" s="176">
        <v>40.952380952380949</v>
      </c>
      <c r="Q9" s="174" t="str">
        <f t="shared" ref="Q9" si="8">IFERROR(Q8/Q$4*100,"-")</f>
        <v>-</v>
      </c>
      <c r="R9" s="176">
        <f t="shared" ref="R9:AC9" si="9">IFERROR(R8/R$4*100,"-")</f>
        <v>32.76955602536998</v>
      </c>
      <c r="S9" s="176">
        <f t="shared" si="9"/>
        <v>38.557213930348261</v>
      </c>
      <c r="T9" s="176" t="str">
        <f t="shared" si="9"/>
        <v>-</v>
      </c>
      <c r="U9" s="176">
        <f t="shared" si="9"/>
        <v>41.473684210526315</v>
      </c>
      <c r="V9" s="176">
        <f t="shared" si="9"/>
        <v>45.813953488372093</v>
      </c>
      <c r="W9" s="176" t="str">
        <f t="shared" si="9"/>
        <v>-</v>
      </c>
      <c r="X9" s="176">
        <f t="shared" si="9"/>
        <v>33.149171270718227</v>
      </c>
      <c r="Y9" s="176">
        <f t="shared" si="9"/>
        <v>36.253776435045317</v>
      </c>
      <c r="Z9" s="176" t="str">
        <f t="shared" si="9"/>
        <v>-</v>
      </c>
      <c r="AA9" s="176">
        <f t="shared" si="9"/>
        <v>37.530864197530867</v>
      </c>
      <c r="AB9" s="176">
        <f t="shared" si="9"/>
        <v>40.211640211640209</v>
      </c>
      <c r="AC9" s="176" t="str">
        <f t="shared" si="9"/>
        <v>-</v>
      </c>
      <c r="AD9" s="176">
        <f>IFERROR(AD8/AD$4*100,"-")</f>
        <v>32.843137254901961</v>
      </c>
      <c r="AE9" s="176">
        <f>IFERROR(AE8/AE$4*100,"-")</f>
        <v>35.543766578249333</v>
      </c>
      <c r="AF9" s="174">
        <v>0</v>
      </c>
    </row>
    <row r="10" spans="1:33" ht="54" customHeight="1">
      <c r="A10" s="526" t="s">
        <v>429</v>
      </c>
      <c r="B10" s="181" t="s">
        <v>390</v>
      </c>
      <c r="C10" s="181">
        <v>151</v>
      </c>
      <c r="D10" s="181">
        <v>151</v>
      </c>
      <c r="E10" s="174" t="s">
        <v>49</v>
      </c>
      <c r="F10" s="181">
        <v>161</v>
      </c>
      <c r="G10" s="181">
        <v>161</v>
      </c>
      <c r="H10" s="174" t="s">
        <v>49</v>
      </c>
      <c r="I10" s="181">
        <v>155</v>
      </c>
      <c r="J10" s="181">
        <v>155</v>
      </c>
      <c r="K10" s="174" t="s">
        <v>49</v>
      </c>
      <c r="L10" s="181">
        <v>143</v>
      </c>
      <c r="M10" s="181">
        <v>143</v>
      </c>
      <c r="N10" s="174" t="s">
        <v>49</v>
      </c>
      <c r="O10" s="181">
        <v>140</v>
      </c>
      <c r="P10" s="181">
        <v>140</v>
      </c>
      <c r="Q10" s="174" t="s">
        <v>49</v>
      </c>
      <c r="R10" s="174">
        <v>109</v>
      </c>
      <c r="S10" s="174">
        <v>109</v>
      </c>
      <c r="T10" s="174" t="s">
        <v>49</v>
      </c>
      <c r="U10" s="174">
        <v>106</v>
      </c>
      <c r="V10" s="174">
        <v>106</v>
      </c>
      <c r="W10" s="174" t="s">
        <v>49</v>
      </c>
      <c r="X10" s="174">
        <v>101</v>
      </c>
      <c r="Y10" s="174">
        <v>101</v>
      </c>
      <c r="Z10" s="174" t="s">
        <v>49</v>
      </c>
      <c r="AA10" s="174">
        <v>99</v>
      </c>
      <c r="AB10" s="174">
        <v>99</v>
      </c>
      <c r="AC10" s="174" t="s">
        <v>220</v>
      </c>
      <c r="AD10" s="174">
        <v>89</v>
      </c>
      <c r="AE10" s="174">
        <v>89</v>
      </c>
      <c r="AF10" s="174">
        <v>0</v>
      </c>
    </row>
    <row r="11" spans="1:33" ht="54" customHeight="1">
      <c r="A11" s="532"/>
      <c r="B11" s="173" t="s">
        <v>75</v>
      </c>
      <c r="C11" s="173">
        <v>19.211195928753181</v>
      </c>
      <c r="D11" s="173">
        <v>22.108345534407029</v>
      </c>
      <c r="E11" s="172" t="str">
        <f t="shared" ref="E11" si="10">IFERROR(E10/E$4*100,"-")</f>
        <v>-</v>
      </c>
      <c r="F11" s="173">
        <v>19.515151515151516</v>
      </c>
      <c r="G11" s="173">
        <v>22.237569060773481</v>
      </c>
      <c r="H11" s="172" t="str">
        <f t="shared" ref="H11" si="11">IFERROR(H10/H$4*100,"-")</f>
        <v>-</v>
      </c>
      <c r="I11" s="173">
        <v>18.607442977190878</v>
      </c>
      <c r="J11" s="173">
        <v>21.861777150916783</v>
      </c>
      <c r="K11" s="172" t="str">
        <f t="shared" ref="K11" si="12">IFERROR(K10/K$4*100,"-")</f>
        <v>-</v>
      </c>
      <c r="L11" s="173">
        <v>19.37669376693767</v>
      </c>
      <c r="M11" s="173">
        <v>22.484276729559749</v>
      </c>
      <c r="N11" s="172" t="str">
        <f t="shared" ref="N11" si="13">IFERROR(N10/N$4*100,"-")</f>
        <v>-</v>
      </c>
      <c r="O11" s="173">
        <v>29.473684210526311</v>
      </c>
      <c r="P11" s="173">
        <v>33.333333333333329</v>
      </c>
      <c r="Q11" s="172" t="str">
        <f t="shared" ref="Q11" si="14">IFERROR(Q10/Q$4*100,"-")</f>
        <v>-</v>
      </c>
      <c r="R11" s="172">
        <f t="shared" ref="R11:AC11" si="15">IFERROR(R10/R$4*100,"-")</f>
        <v>23.044397463002113</v>
      </c>
      <c r="S11" s="172">
        <f t="shared" si="15"/>
        <v>27.114427860696516</v>
      </c>
      <c r="T11" s="172" t="str">
        <f t="shared" si="15"/>
        <v>-</v>
      </c>
      <c r="U11" s="172">
        <f t="shared" si="15"/>
        <v>22.315789473684212</v>
      </c>
      <c r="V11" s="172">
        <f t="shared" si="15"/>
        <v>24.651162790697676</v>
      </c>
      <c r="W11" s="172" t="str">
        <f t="shared" si="15"/>
        <v>-</v>
      </c>
      <c r="X11" s="172">
        <f t="shared" si="15"/>
        <v>27.900552486187845</v>
      </c>
      <c r="Y11" s="172">
        <f t="shared" si="15"/>
        <v>30.513595166163142</v>
      </c>
      <c r="Z11" s="172" t="str">
        <f t="shared" si="15"/>
        <v>-</v>
      </c>
      <c r="AA11" s="172">
        <f t="shared" si="15"/>
        <v>24.444444444444443</v>
      </c>
      <c r="AB11" s="172">
        <f t="shared" si="15"/>
        <v>26.190476190476193</v>
      </c>
      <c r="AC11" s="172" t="str">
        <f t="shared" si="15"/>
        <v>-</v>
      </c>
      <c r="AD11" s="172">
        <f>IFERROR(AD10/AD$4*100,"-")</f>
        <v>21.813725490196077</v>
      </c>
      <c r="AE11" s="172">
        <f>IFERROR(AE10/AE$4*100,"-")</f>
        <v>23.607427055702917</v>
      </c>
      <c r="AF11" s="182">
        <v>0</v>
      </c>
    </row>
    <row r="12" spans="1:33">
      <c r="A12" s="545" t="s">
        <v>378</v>
      </c>
      <c r="B12" s="545"/>
      <c r="C12" s="545"/>
      <c r="D12" s="545"/>
      <c r="E12" s="545"/>
      <c r="F12" s="545"/>
      <c r="G12" s="545"/>
      <c r="H12" s="545"/>
      <c r="I12" s="545"/>
      <c r="J12" s="545"/>
      <c r="K12" s="545"/>
      <c r="L12" s="545"/>
      <c r="M12" s="545"/>
      <c r="N12" s="545"/>
      <c r="O12" s="545"/>
      <c r="P12" s="545"/>
      <c r="Q12" s="171"/>
      <c r="R12" s="180"/>
      <c r="S12" s="180"/>
      <c r="T12" s="180"/>
      <c r="U12" s="180"/>
      <c r="V12" s="180"/>
      <c r="W12" s="180"/>
      <c r="X12" s="180"/>
      <c r="Y12" s="180"/>
      <c r="Z12" s="180"/>
      <c r="AA12" s="171"/>
      <c r="AB12" s="171"/>
      <c r="AC12" s="171"/>
      <c r="AD12" s="171"/>
      <c r="AE12" s="171"/>
      <c r="AF12" s="171"/>
    </row>
    <row r="13" spans="1:33" ht="39.950000000000003" customHeight="1">
      <c r="A13" s="546" t="s">
        <v>750</v>
      </c>
      <c r="B13" s="547"/>
      <c r="C13" s="547"/>
      <c r="D13" s="547"/>
      <c r="E13" s="547"/>
      <c r="F13" s="547"/>
      <c r="G13" s="547"/>
      <c r="H13" s="547"/>
      <c r="I13" s="547"/>
      <c r="J13" s="547"/>
      <c r="K13" s="547"/>
      <c r="L13" s="547"/>
      <c r="M13" s="547"/>
      <c r="N13" s="547"/>
      <c r="O13" s="547"/>
      <c r="P13" s="547"/>
      <c r="Q13" s="547"/>
      <c r="R13" s="547"/>
      <c r="S13" s="547"/>
      <c r="T13" s="547"/>
      <c r="U13" s="547"/>
      <c r="V13" s="547"/>
      <c r="W13" s="547"/>
      <c r="X13" s="547"/>
      <c r="Y13" s="547"/>
      <c r="Z13" s="547"/>
      <c r="AA13" s="547"/>
      <c r="AB13" s="547"/>
      <c r="AC13" s="547"/>
      <c r="AD13" s="547"/>
      <c r="AE13" s="547"/>
      <c r="AF13" s="547"/>
    </row>
    <row r="14" spans="1:33">
      <c r="S14" s="225"/>
      <c r="T14" s="225"/>
      <c r="U14" s="225"/>
      <c r="V14" s="225"/>
      <c r="W14" s="225"/>
      <c r="X14" s="225"/>
      <c r="Y14" s="225"/>
      <c r="Z14" s="225"/>
      <c r="AA14" s="225"/>
      <c r="AB14" s="225"/>
      <c r="AC14" s="225"/>
      <c r="AD14" s="225"/>
      <c r="AE14" s="225"/>
      <c r="AF14" s="225"/>
    </row>
    <row r="16" spans="1:33">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row>
  </sheetData>
  <mergeCells count="18">
    <mergeCell ref="A12:P12"/>
    <mergeCell ref="A10:A11"/>
    <mergeCell ref="A13:AF13"/>
    <mergeCell ref="A4:A5"/>
    <mergeCell ref="A6:A7"/>
    <mergeCell ref="A8:A9"/>
    <mergeCell ref="A1:AF1"/>
    <mergeCell ref="A2:B3"/>
    <mergeCell ref="R2:T2"/>
    <mergeCell ref="U2:W2"/>
    <mergeCell ref="X2:Z2"/>
    <mergeCell ref="AA2:AC2"/>
    <mergeCell ref="AD2:AF2"/>
    <mergeCell ref="C2:E2"/>
    <mergeCell ref="F2:H2"/>
    <mergeCell ref="I2:K2"/>
    <mergeCell ref="L2:N2"/>
    <mergeCell ref="O2:Q2"/>
  </mergeCells>
  <phoneticPr fontId="2" type="noConversion"/>
  <hyperlinks>
    <hyperlink ref="AG1" location="本篇表次!A1" display="回本篇表次"/>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G16"/>
  <sheetViews>
    <sheetView showGridLines="0" zoomScaleNormal="100" workbookViewId="0">
      <selection sqref="A1:AE1"/>
    </sheetView>
  </sheetViews>
  <sheetFormatPr defaultColWidth="8.875" defaultRowHeight="16.5"/>
  <cols>
    <col min="1" max="1" width="11.625" customWidth="1"/>
    <col min="2" max="2" width="5.625" bestFit="1" customWidth="1"/>
    <col min="3" max="32" width="8.125" customWidth="1"/>
    <col min="33" max="33" width="12.625" bestFit="1" customWidth="1"/>
  </cols>
  <sheetData>
    <row r="1" spans="1:33" ht="30" customHeight="1">
      <c r="A1" s="543" t="s">
        <v>752</v>
      </c>
      <c r="B1" s="543"/>
      <c r="C1" s="543"/>
      <c r="D1" s="543"/>
      <c r="E1" s="543"/>
      <c r="F1" s="543"/>
      <c r="G1" s="543"/>
      <c r="H1" s="543"/>
      <c r="I1" s="543"/>
      <c r="J1" s="543"/>
      <c r="K1" s="543"/>
      <c r="L1" s="543"/>
      <c r="M1" s="543"/>
      <c r="N1" s="543"/>
      <c r="O1" s="543"/>
      <c r="P1" s="543"/>
      <c r="Q1" s="543"/>
      <c r="R1" s="543"/>
      <c r="S1" s="543"/>
      <c r="T1" s="543"/>
      <c r="U1" s="543"/>
      <c r="V1" s="543"/>
      <c r="W1" s="543"/>
      <c r="X1" s="543"/>
      <c r="Y1" s="543"/>
      <c r="Z1" s="543"/>
      <c r="AA1" s="543"/>
      <c r="AB1" s="543"/>
      <c r="AC1" s="543"/>
      <c r="AD1" s="544"/>
      <c r="AE1" s="544"/>
      <c r="AF1" s="544"/>
      <c r="AG1" s="334" t="s">
        <v>548</v>
      </c>
    </row>
    <row r="2" spans="1:33" ht="30" customHeight="1">
      <c r="A2" s="528"/>
      <c r="B2" s="528"/>
      <c r="C2" s="529" t="s">
        <v>739</v>
      </c>
      <c r="D2" s="529"/>
      <c r="E2" s="529"/>
      <c r="F2" s="529" t="s">
        <v>740</v>
      </c>
      <c r="G2" s="529"/>
      <c r="H2" s="529"/>
      <c r="I2" s="529" t="s">
        <v>741</v>
      </c>
      <c r="J2" s="529"/>
      <c r="K2" s="529"/>
      <c r="L2" s="529" t="s">
        <v>742</v>
      </c>
      <c r="M2" s="529"/>
      <c r="N2" s="529"/>
      <c r="O2" s="529" t="s">
        <v>743</v>
      </c>
      <c r="P2" s="529"/>
      <c r="Q2" s="529"/>
      <c r="R2" s="529" t="s">
        <v>375</v>
      </c>
      <c r="S2" s="529"/>
      <c r="T2" s="529"/>
      <c r="U2" s="529" t="s">
        <v>163</v>
      </c>
      <c r="V2" s="529"/>
      <c r="W2" s="529"/>
      <c r="X2" s="529" t="s">
        <v>388</v>
      </c>
      <c r="Y2" s="529"/>
      <c r="Z2" s="529"/>
      <c r="AA2" s="529" t="s">
        <v>45</v>
      </c>
      <c r="AB2" s="529"/>
      <c r="AC2" s="529"/>
      <c r="AD2" s="529" t="s">
        <v>619</v>
      </c>
      <c r="AE2" s="529"/>
      <c r="AF2" s="529"/>
    </row>
    <row r="3" spans="1:33" ht="30" customHeight="1">
      <c r="A3" s="526"/>
      <c r="B3" s="526"/>
      <c r="C3" s="162" t="s">
        <v>402</v>
      </c>
      <c r="D3" s="162" t="s">
        <v>401</v>
      </c>
      <c r="E3" s="162" t="s">
        <v>400</v>
      </c>
      <c r="F3" s="162" t="s">
        <v>402</v>
      </c>
      <c r="G3" s="162" t="s">
        <v>401</v>
      </c>
      <c r="H3" s="162" t="s">
        <v>400</v>
      </c>
      <c r="I3" s="162" t="s">
        <v>402</v>
      </c>
      <c r="J3" s="162" t="s">
        <v>401</v>
      </c>
      <c r="K3" s="162" t="s">
        <v>400</v>
      </c>
      <c r="L3" s="162" t="s">
        <v>402</v>
      </c>
      <c r="M3" s="162" t="s">
        <v>401</v>
      </c>
      <c r="N3" s="162" t="s">
        <v>400</v>
      </c>
      <c r="O3" s="162" t="s">
        <v>402</v>
      </c>
      <c r="P3" s="162" t="s">
        <v>401</v>
      </c>
      <c r="Q3" s="162" t="s">
        <v>400</v>
      </c>
      <c r="R3" s="162" t="s">
        <v>402</v>
      </c>
      <c r="S3" s="162" t="s">
        <v>401</v>
      </c>
      <c r="T3" s="162" t="s">
        <v>400</v>
      </c>
      <c r="U3" s="162" t="s">
        <v>402</v>
      </c>
      <c r="V3" s="162" t="s">
        <v>401</v>
      </c>
      <c r="W3" s="162" t="s">
        <v>400</v>
      </c>
      <c r="X3" s="169" t="s">
        <v>402</v>
      </c>
      <c r="Y3" s="169" t="s">
        <v>401</v>
      </c>
      <c r="Z3" s="169" t="s">
        <v>400</v>
      </c>
      <c r="AA3" s="169" t="s">
        <v>402</v>
      </c>
      <c r="AB3" s="169" t="s">
        <v>401</v>
      </c>
      <c r="AC3" s="169" t="s">
        <v>400</v>
      </c>
      <c r="AD3" s="169" t="s">
        <v>402</v>
      </c>
      <c r="AE3" s="169" t="s">
        <v>401</v>
      </c>
      <c r="AF3" s="169" t="s">
        <v>400</v>
      </c>
    </row>
    <row r="4" spans="1:33" ht="44.1" customHeight="1">
      <c r="A4" s="526" t="s">
        <v>399</v>
      </c>
      <c r="B4" s="181" t="s">
        <v>434</v>
      </c>
      <c r="C4" s="329">
        <v>907</v>
      </c>
      <c r="D4" s="329">
        <v>745</v>
      </c>
      <c r="E4" s="329">
        <v>162</v>
      </c>
      <c r="F4" s="329">
        <v>809</v>
      </c>
      <c r="G4" s="329">
        <v>692</v>
      </c>
      <c r="H4" s="329">
        <v>117</v>
      </c>
      <c r="I4" s="329">
        <v>788</v>
      </c>
      <c r="J4" s="329">
        <v>699</v>
      </c>
      <c r="K4" s="329">
        <v>89</v>
      </c>
      <c r="L4" s="329">
        <v>778</v>
      </c>
      <c r="M4" s="329">
        <v>680</v>
      </c>
      <c r="N4" s="329">
        <v>98</v>
      </c>
      <c r="O4" s="329">
        <v>739</v>
      </c>
      <c r="P4" s="329">
        <v>619</v>
      </c>
      <c r="Q4" s="329">
        <v>120</v>
      </c>
      <c r="R4" s="315">
        <v>589</v>
      </c>
      <c r="S4" s="315">
        <v>505</v>
      </c>
      <c r="T4" s="315">
        <v>84</v>
      </c>
      <c r="U4" s="315">
        <v>415</v>
      </c>
      <c r="V4" s="315">
        <v>354</v>
      </c>
      <c r="W4" s="315">
        <v>61</v>
      </c>
      <c r="X4" s="315">
        <v>424</v>
      </c>
      <c r="Y4" s="315">
        <v>377</v>
      </c>
      <c r="Z4" s="315">
        <v>47</v>
      </c>
      <c r="AA4" s="315">
        <v>424</v>
      </c>
      <c r="AB4" s="315">
        <v>381</v>
      </c>
      <c r="AC4" s="315">
        <v>43</v>
      </c>
      <c r="AD4" s="315">
        <v>393</v>
      </c>
      <c r="AE4" s="315">
        <v>372</v>
      </c>
      <c r="AF4" s="315">
        <v>21</v>
      </c>
    </row>
    <row r="5" spans="1:33" ht="44.1" customHeight="1">
      <c r="A5" s="526"/>
      <c r="B5" s="177" t="s">
        <v>433</v>
      </c>
      <c r="C5" s="321">
        <v>100</v>
      </c>
      <c r="D5" s="321">
        <v>100</v>
      </c>
      <c r="E5" s="321">
        <v>100</v>
      </c>
      <c r="F5" s="321">
        <v>100</v>
      </c>
      <c r="G5" s="321">
        <v>100</v>
      </c>
      <c r="H5" s="321">
        <v>100</v>
      </c>
      <c r="I5" s="321">
        <v>100</v>
      </c>
      <c r="J5" s="321">
        <v>100</v>
      </c>
      <c r="K5" s="321">
        <v>100</v>
      </c>
      <c r="L5" s="321">
        <v>100</v>
      </c>
      <c r="M5" s="321">
        <v>100</v>
      </c>
      <c r="N5" s="321">
        <v>100</v>
      </c>
      <c r="O5" s="321">
        <v>100</v>
      </c>
      <c r="P5" s="321">
        <v>100</v>
      </c>
      <c r="Q5" s="321">
        <v>100</v>
      </c>
      <c r="R5" s="317">
        <v>100</v>
      </c>
      <c r="S5" s="317">
        <v>100</v>
      </c>
      <c r="T5" s="317">
        <v>100</v>
      </c>
      <c r="U5" s="317">
        <v>100</v>
      </c>
      <c r="V5" s="317">
        <v>100</v>
      </c>
      <c r="W5" s="317">
        <v>100</v>
      </c>
      <c r="X5" s="317">
        <v>100.00000000000001</v>
      </c>
      <c r="Y5" s="317">
        <v>100</v>
      </c>
      <c r="Z5" s="317">
        <v>100</v>
      </c>
      <c r="AA5" s="317">
        <v>100</v>
      </c>
      <c r="AB5" s="317">
        <v>100</v>
      </c>
      <c r="AC5" s="317">
        <v>100</v>
      </c>
      <c r="AD5" s="317">
        <v>100</v>
      </c>
      <c r="AE5" s="317">
        <v>100</v>
      </c>
      <c r="AF5" s="317">
        <v>100</v>
      </c>
    </row>
    <row r="6" spans="1:33" ht="44.1" customHeight="1">
      <c r="A6" s="548" t="s">
        <v>430</v>
      </c>
      <c r="B6" s="181" t="s">
        <v>434</v>
      </c>
      <c r="C6" s="329">
        <v>350</v>
      </c>
      <c r="D6" s="329">
        <v>350</v>
      </c>
      <c r="E6" s="330" t="s">
        <v>220</v>
      </c>
      <c r="F6" s="329">
        <v>245</v>
      </c>
      <c r="G6" s="329">
        <v>245</v>
      </c>
      <c r="H6" s="330" t="s">
        <v>220</v>
      </c>
      <c r="I6" s="329">
        <v>289</v>
      </c>
      <c r="J6" s="329">
        <v>289</v>
      </c>
      <c r="K6" s="330" t="s">
        <v>220</v>
      </c>
      <c r="L6" s="329">
        <v>309</v>
      </c>
      <c r="M6" s="329">
        <v>309</v>
      </c>
      <c r="N6" s="330" t="s">
        <v>220</v>
      </c>
      <c r="O6" s="329">
        <v>261</v>
      </c>
      <c r="P6" s="329">
        <v>261</v>
      </c>
      <c r="Q6" s="330" t="s">
        <v>220</v>
      </c>
      <c r="R6" s="330">
        <v>236</v>
      </c>
      <c r="S6" s="330">
        <v>236</v>
      </c>
      <c r="T6" s="330" t="s">
        <v>220</v>
      </c>
      <c r="U6" s="315">
        <v>137</v>
      </c>
      <c r="V6" s="315">
        <v>137</v>
      </c>
      <c r="W6" s="315" t="s">
        <v>49</v>
      </c>
      <c r="X6" s="315">
        <v>115</v>
      </c>
      <c r="Y6" s="315">
        <v>115</v>
      </c>
      <c r="Z6" s="315" t="s">
        <v>49</v>
      </c>
      <c r="AA6" s="315">
        <v>136</v>
      </c>
      <c r="AB6" s="315">
        <v>136</v>
      </c>
      <c r="AC6" s="315">
        <v>0</v>
      </c>
      <c r="AD6" s="331">
        <v>143</v>
      </c>
      <c r="AE6" s="315">
        <v>143</v>
      </c>
      <c r="AF6" s="315">
        <v>0</v>
      </c>
    </row>
    <row r="7" spans="1:33" ht="44.1" customHeight="1">
      <c r="A7" s="550"/>
      <c r="B7" s="177" t="s">
        <v>433</v>
      </c>
      <c r="C7" s="321">
        <v>38.588754134509372</v>
      </c>
      <c r="D7" s="321">
        <v>46.979865771812079</v>
      </c>
      <c r="E7" s="317" t="s">
        <v>49</v>
      </c>
      <c r="F7" s="321">
        <v>30.284301606922128</v>
      </c>
      <c r="G7" s="321">
        <v>35.404624277456648</v>
      </c>
      <c r="H7" s="317" t="s">
        <v>49</v>
      </c>
      <c r="I7" s="321">
        <v>36.675126903553299</v>
      </c>
      <c r="J7" s="321">
        <v>41.344778254649498</v>
      </c>
      <c r="K7" s="317" t="s">
        <v>49</v>
      </c>
      <c r="L7" s="321">
        <v>39.717223650385606</v>
      </c>
      <c r="M7" s="321">
        <v>45.441176470588232</v>
      </c>
      <c r="N7" s="317" t="s">
        <v>49</v>
      </c>
      <c r="O7" s="321">
        <v>35.317997293640055</v>
      </c>
      <c r="P7" s="321">
        <v>42.164781906300483</v>
      </c>
      <c r="Q7" s="317" t="s">
        <v>49</v>
      </c>
      <c r="R7" s="317">
        <v>40.067911714770801</v>
      </c>
      <c r="S7" s="317">
        <v>46.732673267326739</v>
      </c>
      <c r="T7" s="317" t="s">
        <v>49</v>
      </c>
      <c r="U7" s="317">
        <v>33.012048192771083</v>
      </c>
      <c r="V7" s="317">
        <v>38.700564971751412</v>
      </c>
      <c r="W7" s="317" t="s">
        <v>49</v>
      </c>
      <c r="X7" s="317">
        <v>27.122641509433965</v>
      </c>
      <c r="Y7" s="317">
        <v>30.50397877984085</v>
      </c>
      <c r="Z7" s="317" t="s">
        <v>49</v>
      </c>
      <c r="AA7" s="317">
        <v>32.075471698113205</v>
      </c>
      <c r="AB7" s="317">
        <v>35.69553805774278</v>
      </c>
      <c r="AC7" s="315">
        <v>0</v>
      </c>
      <c r="AD7" s="317">
        <f>IFERROR(AD6/AD$4*100,"-")</f>
        <v>36.386768447837149</v>
      </c>
      <c r="AE7" s="317">
        <f>IFERROR(AE6/AE$4*100,"-")</f>
        <v>38.44086021505376</v>
      </c>
      <c r="AF7" s="315">
        <f>IFERROR(AF6/AF$4*100,"-")</f>
        <v>0</v>
      </c>
    </row>
    <row r="8" spans="1:33" ht="44.1" customHeight="1">
      <c r="A8" s="548" t="s">
        <v>431</v>
      </c>
      <c r="B8" s="181" t="s">
        <v>434</v>
      </c>
      <c r="C8" s="329">
        <v>412</v>
      </c>
      <c r="D8" s="329">
        <v>250</v>
      </c>
      <c r="E8" s="329">
        <v>162</v>
      </c>
      <c r="F8" s="329">
        <v>383</v>
      </c>
      <c r="G8" s="329">
        <v>266</v>
      </c>
      <c r="H8" s="329">
        <v>117</v>
      </c>
      <c r="I8" s="329">
        <v>349</v>
      </c>
      <c r="J8" s="329">
        <v>260</v>
      </c>
      <c r="K8" s="329">
        <v>89</v>
      </c>
      <c r="L8" s="329">
        <v>325</v>
      </c>
      <c r="M8" s="329">
        <v>227</v>
      </c>
      <c r="N8" s="329">
        <v>98</v>
      </c>
      <c r="O8" s="329">
        <v>328</v>
      </c>
      <c r="P8" s="329">
        <v>208</v>
      </c>
      <c r="Q8" s="329">
        <v>120</v>
      </c>
      <c r="R8" s="315">
        <v>222</v>
      </c>
      <c r="S8" s="315">
        <v>138</v>
      </c>
      <c r="T8" s="315">
        <v>84</v>
      </c>
      <c r="U8" s="315">
        <v>158</v>
      </c>
      <c r="V8" s="315">
        <v>97</v>
      </c>
      <c r="W8" s="315">
        <v>61</v>
      </c>
      <c r="X8" s="315">
        <v>170</v>
      </c>
      <c r="Y8" s="315">
        <v>123</v>
      </c>
      <c r="Z8" s="315">
        <v>47</v>
      </c>
      <c r="AA8" s="315">
        <v>162</v>
      </c>
      <c r="AB8" s="315">
        <v>119</v>
      </c>
      <c r="AC8" s="315">
        <v>43</v>
      </c>
      <c r="AD8" s="315">
        <v>142</v>
      </c>
      <c r="AE8" s="315">
        <v>121</v>
      </c>
      <c r="AF8" s="315">
        <v>21</v>
      </c>
    </row>
    <row r="9" spans="1:33" ht="44.1" customHeight="1">
      <c r="A9" s="550"/>
      <c r="B9" s="177" t="s">
        <v>433</v>
      </c>
      <c r="C9" s="321">
        <v>45.424476295479607</v>
      </c>
      <c r="D9" s="321">
        <v>33.557046979865774</v>
      </c>
      <c r="E9" s="321">
        <v>100</v>
      </c>
      <c r="F9" s="321">
        <v>47.342398022249697</v>
      </c>
      <c r="G9" s="321">
        <v>38.439306358381501</v>
      </c>
      <c r="H9" s="321">
        <v>100</v>
      </c>
      <c r="I9" s="321">
        <v>44.289340101522846</v>
      </c>
      <c r="J9" s="321">
        <v>37.195994277539342</v>
      </c>
      <c r="K9" s="321">
        <v>100</v>
      </c>
      <c r="L9" s="321">
        <v>41.773778920308487</v>
      </c>
      <c r="M9" s="321">
        <v>33.382352941176471</v>
      </c>
      <c r="N9" s="321">
        <v>100</v>
      </c>
      <c r="O9" s="321">
        <v>44.384303112313937</v>
      </c>
      <c r="P9" s="321">
        <v>33.602584814216478</v>
      </c>
      <c r="Q9" s="321">
        <v>100</v>
      </c>
      <c r="R9" s="317">
        <v>37.691001697792871</v>
      </c>
      <c r="S9" s="317">
        <v>27.32673267326733</v>
      </c>
      <c r="T9" s="317">
        <v>100</v>
      </c>
      <c r="U9" s="317">
        <v>38.072289156626503</v>
      </c>
      <c r="V9" s="317">
        <v>27.401129943502823</v>
      </c>
      <c r="W9" s="317">
        <v>100</v>
      </c>
      <c r="X9" s="317">
        <v>40.094339622641513</v>
      </c>
      <c r="Y9" s="317">
        <v>32.625994694960212</v>
      </c>
      <c r="Z9" s="317">
        <v>100</v>
      </c>
      <c r="AA9" s="317">
        <v>38.20754716981132</v>
      </c>
      <c r="AB9" s="317">
        <v>31.233595800524931</v>
      </c>
      <c r="AC9" s="317">
        <v>100</v>
      </c>
      <c r="AD9" s="317">
        <f>IFERROR(AD8/AD$4*100,"-")</f>
        <v>36.132315521628499</v>
      </c>
      <c r="AE9" s="317">
        <f>IFERROR(AE8/AE$4*100,"-")</f>
        <v>32.526881720430104</v>
      </c>
      <c r="AF9" s="317">
        <f>IFERROR(AF8/AF$4*100,"-")</f>
        <v>100</v>
      </c>
    </row>
    <row r="10" spans="1:33" ht="44.1" customHeight="1">
      <c r="A10" s="548" t="s">
        <v>429</v>
      </c>
      <c r="B10" s="181" t="s">
        <v>434</v>
      </c>
      <c r="C10" s="329">
        <v>145</v>
      </c>
      <c r="D10" s="329">
        <v>145</v>
      </c>
      <c r="E10" s="315" t="s">
        <v>49</v>
      </c>
      <c r="F10" s="329">
        <v>181</v>
      </c>
      <c r="G10" s="329">
        <v>181</v>
      </c>
      <c r="H10" s="315" t="s">
        <v>49</v>
      </c>
      <c r="I10" s="329">
        <v>150</v>
      </c>
      <c r="J10" s="329">
        <v>150</v>
      </c>
      <c r="K10" s="315" t="s">
        <v>49</v>
      </c>
      <c r="L10" s="329">
        <v>144</v>
      </c>
      <c r="M10" s="329">
        <v>144</v>
      </c>
      <c r="N10" s="315" t="s">
        <v>49</v>
      </c>
      <c r="O10" s="329">
        <v>150</v>
      </c>
      <c r="P10" s="329">
        <v>150</v>
      </c>
      <c r="Q10" s="315" t="s">
        <v>49</v>
      </c>
      <c r="R10" s="315">
        <v>131</v>
      </c>
      <c r="S10" s="315">
        <v>131</v>
      </c>
      <c r="T10" s="315" t="s">
        <v>49</v>
      </c>
      <c r="U10" s="315">
        <v>120</v>
      </c>
      <c r="V10" s="315">
        <v>120</v>
      </c>
      <c r="W10" s="315" t="s">
        <v>49</v>
      </c>
      <c r="X10" s="315">
        <v>139</v>
      </c>
      <c r="Y10" s="315">
        <v>139</v>
      </c>
      <c r="Z10" s="315" t="s">
        <v>49</v>
      </c>
      <c r="AA10" s="315">
        <v>126</v>
      </c>
      <c r="AB10" s="315">
        <v>126</v>
      </c>
      <c r="AC10" s="315">
        <v>0</v>
      </c>
      <c r="AD10" s="315">
        <v>108</v>
      </c>
      <c r="AE10" s="315">
        <v>108</v>
      </c>
      <c r="AF10" s="315">
        <v>0</v>
      </c>
    </row>
    <row r="11" spans="1:33" ht="44.1" customHeight="1">
      <c r="A11" s="549"/>
      <c r="B11" s="173" t="s">
        <v>433</v>
      </c>
      <c r="C11" s="322">
        <v>15.986769570011026</v>
      </c>
      <c r="D11" s="322">
        <v>19.463087248322147</v>
      </c>
      <c r="E11" s="319" t="s">
        <v>49</v>
      </c>
      <c r="F11" s="322">
        <v>22.373300370828183</v>
      </c>
      <c r="G11" s="322">
        <v>26.156069364161848</v>
      </c>
      <c r="H11" s="319" t="s">
        <v>49</v>
      </c>
      <c r="I11" s="322">
        <v>19.035532994923855</v>
      </c>
      <c r="J11" s="322">
        <v>21.459227467811161</v>
      </c>
      <c r="K11" s="319" t="s">
        <v>49</v>
      </c>
      <c r="L11" s="322">
        <v>18.508997429305911</v>
      </c>
      <c r="M11" s="322">
        <v>21.176470588235293</v>
      </c>
      <c r="N11" s="319" t="s">
        <v>49</v>
      </c>
      <c r="O11" s="322">
        <v>20.297699594046009</v>
      </c>
      <c r="P11" s="322">
        <v>24.232633279483036</v>
      </c>
      <c r="Q11" s="319" t="s">
        <v>49</v>
      </c>
      <c r="R11" s="319">
        <v>22.241086587436332</v>
      </c>
      <c r="S11" s="319">
        <v>25.940594059405942</v>
      </c>
      <c r="T11" s="319" t="s">
        <v>49</v>
      </c>
      <c r="U11" s="319">
        <v>28.915662650602407</v>
      </c>
      <c r="V11" s="319">
        <v>33.898305084745758</v>
      </c>
      <c r="W11" s="319" t="s">
        <v>49</v>
      </c>
      <c r="X11" s="319">
        <v>32.783018867924532</v>
      </c>
      <c r="Y11" s="319">
        <v>36.870026525198938</v>
      </c>
      <c r="Z11" s="319" t="s">
        <v>49</v>
      </c>
      <c r="AA11" s="319">
        <v>29.716981132075471</v>
      </c>
      <c r="AB11" s="319">
        <v>33.070866141732289</v>
      </c>
      <c r="AC11" s="318">
        <v>0</v>
      </c>
      <c r="AD11" s="319">
        <f>IFERROR(AD10/AD$4*100,"-")</f>
        <v>27.480916030534353</v>
      </c>
      <c r="AE11" s="319">
        <f>IFERROR(AE10/AE$4*100,"-")</f>
        <v>29.032258064516132</v>
      </c>
      <c r="AF11" s="318">
        <f>IFERROR(AF10/AF$4*100,"-")</f>
        <v>0</v>
      </c>
    </row>
    <row r="12" spans="1:33" ht="12.95" customHeight="1">
      <c r="A12" s="551" t="s">
        <v>389</v>
      </c>
      <c r="B12" s="551"/>
      <c r="C12" s="551"/>
      <c r="D12" s="551"/>
      <c r="E12" s="551"/>
      <c r="F12" s="551"/>
      <c r="G12" s="551"/>
      <c r="H12" s="551"/>
      <c r="I12" s="551"/>
      <c r="J12" s="551"/>
      <c r="K12" s="551"/>
      <c r="L12" s="551"/>
      <c r="M12" s="551"/>
      <c r="N12" s="551"/>
      <c r="O12" s="551"/>
      <c r="P12" s="551"/>
      <c r="Q12" s="551"/>
      <c r="R12" s="551"/>
      <c r="S12" s="551"/>
      <c r="T12" s="551"/>
      <c r="U12" s="551"/>
      <c r="V12" s="551"/>
      <c r="W12" s="551"/>
      <c r="X12" s="551"/>
      <c r="Y12" s="551"/>
      <c r="Z12" s="551"/>
      <c r="AA12" s="157"/>
      <c r="AB12" s="157"/>
      <c r="AC12" s="157"/>
      <c r="AD12" s="157"/>
      <c r="AE12" s="157"/>
      <c r="AF12" s="157"/>
    </row>
    <row r="13" spans="1:33" ht="45" customHeight="1">
      <c r="A13" s="552" t="s">
        <v>753</v>
      </c>
      <c r="B13" s="552"/>
      <c r="C13" s="552"/>
      <c r="D13" s="552"/>
      <c r="E13" s="552"/>
      <c r="F13" s="552"/>
      <c r="G13" s="552"/>
      <c r="H13" s="552"/>
      <c r="I13" s="552"/>
      <c r="J13" s="552"/>
      <c r="K13" s="552"/>
      <c r="L13" s="552"/>
      <c r="M13" s="552"/>
      <c r="N13" s="552"/>
      <c r="O13" s="552"/>
      <c r="P13" s="552"/>
      <c r="Q13" s="552"/>
      <c r="R13" s="552"/>
      <c r="S13" s="552"/>
      <c r="T13" s="552"/>
      <c r="U13" s="552"/>
      <c r="V13" s="552"/>
      <c r="W13" s="552"/>
      <c r="X13" s="552"/>
      <c r="Y13" s="552"/>
      <c r="Z13" s="552"/>
      <c r="AA13" s="552"/>
      <c r="AB13" s="552"/>
      <c r="AC13" s="552"/>
      <c r="AD13" s="552"/>
      <c r="AE13" s="552"/>
      <c r="AF13" s="552"/>
    </row>
    <row r="14" spans="1:33">
      <c r="S14" s="225"/>
      <c r="T14" s="225"/>
      <c r="U14" s="225"/>
      <c r="V14" s="225"/>
      <c r="W14" s="225"/>
      <c r="X14" s="225"/>
      <c r="Y14" s="225"/>
      <c r="Z14" s="225"/>
      <c r="AA14" s="225"/>
      <c r="AB14" s="225"/>
      <c r="AC14" s="225"/>
      <c r="AD14" s="225"/>
      <c r="AE14" s="225"/>
      <c r="AF14" s="225"/>
    </row>
    <row r="15" spans="1:33">
      <c r="S15" s="225"/>
      <c r="T15" s="225"/>
      <c r="U15" s="225"/>
      <c r="V15" s="225"/>
      <c r="W15" s="225"/>
      <c r="X15" s="225"/>
      <c r="Y15" s="225"/>
      <c r="Z15" s="225"/>
      <c r="AA15" s="225"/>
      <c r="AB15" s="225"/>
      <c r="AC15" s="225"/>
      <c r="AD15" s="225"/>
      <c r="AE15" s="225"/>
      <c r="AF15" s="225"/>
    </row>
    <row r="16" spans="1:33">
      <c r="D16" s="306"/>
      <c r="G16" s="306"/>
      <c r="J16" s="306"/>
      <c r="M16" s="306"/>
      <c r="P16" s="306"/>
      <c r="S16" s="306"/>
      <c r="T16" s="225"/>
      <c r="U16" s="225"/>
      <c r="V16" s="306"/>
      <c r="W16" s="225"/>
      <c r="X16" s="225"/>
      <c r="Y16" s="306"/>
      <c r="Z16" s="225"/>
      <c r="AA16" s="225"/>
      <c r="AB16" s="306"/>
      <c r="AC16" s="225"/>
      <c r="AD16" s="225"/>
      <c r="AE16" s="306"/>
      <c r="AF16" s="225"/>
    </row>
  </sheetData>
  <mergeCells count="18">
    <mergeCell ref="A1:AF1"/>
    <mergeCell ref="A2:B3"/>
    <mergeCell ref="R2:T2"/>
    <mergeCell ref="U2:W2"/>
    <mergeCell ref="X2:Z2"/>
    <mergeCell ref="AA2:AC2"/>
    <mergeCell ref="AD2:AF2"/>
    <mergeCell ref="C2:E2"/>
    <mergeCell ref="F2:H2"/>
    <mergeCell ref="I2:K2"/>
    <mergeCell ref="L2:N2"/>
    <mergeCell ref="O2:Q2"/>
    <mergeCell ref="A10:A11"/>
    <mergeCell ref="A6:A7"/>
    <mergeCell ref="A12:Z12"/>
    <mergeCell ref="A13:AF13"/>
    <mergeCell ref="A4:A5"/>
    <mergeCell ref="A8:A9"/>
  </mergeCells>
  <phoneticPr fontId="37" type="noConversion"/>
  <hyperlinks>
    <hyperlink ref="AG1" location="本篇表次!A1" display="回本篇表次"/>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W102"/>
  <sheetViews>
    <sheetView showGridLines="0" zoomScaleNormal="100" zoomScaleSheetLayoutView="68" workbookViewId="0">
      <pane xSplit="1" ySplit="3" topLeftCell="B4" activePane="bottomRight" state="frozen"/>
      <selection activeCell="G17" sqref="G17"/>
      <selection pane="topRight" activeCell="G17" sqref="G17"/>
      <selection pane="bottomLeft" activeCell="G17" sqref="G17"/>
      <selection pane="bottomRight" sqref="A1:U1"/>
    </sheetView>
  </sheetViews>
  <sheetFormatPr defaultColWidth="9" defaultRowHeight="15.75"/>
  <cols>
    <col min="1" max="1" width="23.125" style="56" customWidth="1"/>
    <col min="2" max="2" width="9" style="32" customWidth="1"/>
    <col min="3" max="3" width="9" style="135" customWidth="1"/>
    <col min="4" max="4" width="9" style="32" customWidth="1"/>
    <col min="5" max="5" width="9" style="135" customWidth="1"/>
    <col min="6" max="6" width="9" style="32" customWidth="1"/>
    <col min="7" max="7" width="9" style="202" customWidth="1"/>
    <col min="8" max="8" width="9" style="32" customWidth="1"/>
    <col min="9" max="9" width="9" style="202" customWidth="1"/>
    <col min="10" max="10" width="9" style="32" customWidth="1"/>
    <col min="11" max="11" width="9" style="202" customWidth="1"/>
    <col min="12" max="12" width="9" style="32" customWidth="1"/>
    <col min="13" max="13" width="9" style="202" customWidth="1"/>
    <col min="14" max="14" width="9" style="32" customWidth="1"/>
    <col min="15" max="15" width="9" style="202" customWidth="1"/>
    <col min="16" max="16" width="9" style="32" customWidth="1"/>
    <col min="17" max="17" width="9" style="202" customWidth="1"/>
    <col min="18" max="18" width="9" style="32" customWidth="1"/>
    <col min="19" max="19" width="9" style="202" customWidth="1"/>
    <col min="20" max="21" width="9" style="11" customWidth="1"/>
    <col min="22" max="16384" width="9" style="11"/>
  </cols>
  <sheetData>
    <row r="1" spans="1:23" ht="26.25" customHeight="1">
      <c r="A1" s="398" t="s">
        <v>485</v>
      </c>
      <c r="B1" s="398"/>
      <c r="C1" s="398"/>
      <c r="D1" s="398"/>
      <c r="E1" s="398"/>
      <c r="F1" s="398"/>
      <c r="G1" s="398"/>
      <c r="H1" s="398"/>
      <c r="I1" s="398"/>
      <c r="J1" s="398"/>
      <c r="K1" s="398"/>
      <c r="L1" s="398"/>
      <c r="M1" s="398"/>
      <c r="N1" s="398"/>
      <c r="O1" s="398"/>
      <c r="P1" s="398"/>
      <c r="Q1" s="398"/>
      <c r="R1" s="398"/>
      <c r="S1" s="398"/>
      <c r="T1" s="398"/>
      <c r="U1" s="398"/>
      <c r="V1" s="394" t="s">
        <v>644</v>
      </c>
      <c r="W1" s="394"/>
    </row>
    <row r="2" spans="1:23" ht="16.5">
      <c r="A2" s="16"/>
      <c r="B2" s="395" t="s">
        <v>37</v>
      </c>
      <c r="C2" s="395"/>
      <c r="D2" s="395" t="s">
        <v>38</v>
      </c>
      <c r="E2" s="395"/>
      <c r="F2" s="395" t="s">
        <v>39</v>
      </c>
      <c r="G2" s="395"/>
      <c r="H2" s="395" t="s">
        <v>40</v>
      </c>
      <c r="I2" s="395"/>
      <c r="J2" s="395" t="s">
        <v>41</v>
      </c>
      <c r="K2" s="395"/>
      <c r="L2" s="395" t="s">
        <v>42</v>
      </c>
      <c r="M2" s="395"/>
      <c r="N2" s="395" t="s">
        <v>43</v>
      </c>
      <c r="O2" s="395"/>
      <c r="P2" s="395" t="s">
        <v>77</v>
      </c>
      <c r="Q2" s="395"/>
      <c r="R2" s="395" t="s">
        <v>45</v>
      </c>
      <c r="S2" s="395"/>
      <c r="T2" s="395" t="s">
        <v>616</v>
      </c>
      <c r="U2" s="395"/>
    </row>
    <row r="3" spans="1:23">
      <c r="A3" s="4"/>
      <c r="B3" s="198" t="s">
        <v>486</v>
      </c>
      <c r="C3" s="199" t="s">
        <v>60</v>
      </c>
      <c r="D3" s="198" t="s">
        <v>486</v>
      </c>
      <c r="E3" s="199" t="s">
        <v>60</v>
      </c>
      <c r="F3" s="198" t="s">
        <v>486</v>
      </c>
      <c r="G3" s="199" t="s">
        <v>60</v>
      </c>
      <c r="H3" s="198" t="s">
        <v>486</v>
      </c>
      <c r="I3" s="199" t="s">
        <v>60</v>
      </c>
      <c r="J3" s="198" t="s">
        <v>486</v>
      </c>
      <c r="K3" s="199" t="s">
        <v>60</v>
      </c>
      <c r="L3" s="198" t="s">
        <v>486</v>
      </c>
      <c r="M3" s="199" t="s">
        <v>60</v>
      </c>
      <c r="N3" s="198" t="s">
        <v>486</v>
      </c>
      <c r="O3" s="199" t="s">
        <v>60</v>
      </c>
      <c r="P3" s="198" t="s">
        <v>486</v>
      </c>
      <c r="Q3" s="199" t="s">
        <v>60</v>
      </c>
      <c r="R3" s="198" t="s">
        <v>486</v>
      </c>
      <c r="S3" s="199" t="s">
        <v>60</v>
      </c>
      <c r="T3" s="198" t="s">
        <v>645</v>
      </c>
      <c r="U3" s="199" t="s">
        <v>642</v>
      </c>
    </row>
    <row r="4" spans="1:23" ht="18" customHeight="1">
      <c r="A4" s="24" t="s">
        <v>325</v>
      </c>
      <c r="B4" s="124">
        <v>10969</v>
      </c>
      <c r="C4" s="291">
        <f>SUM(C5:C51)</f>
        <v>100.00000000000006</v>
      </c>
      <c r="D4" s="124">
        <v>11002</v>
      </c>
      <c r="E4" s="291">
        <f>SUM(E5:E51)</f>
        <v>100.00000000000004</v>
      </c>
      <c r="F4" s="124">
        <v>9775</v>
      </c>
      <c r="G4" s="291">
        <f>SUM(G5:G51)</f>
        <v>100</v>
      </c>
      <c r="H4" s="124">
        <v>10499</v>
      </c>
      <c r="I4" s="291">
        <f>SUM(I5:I51)</f>
        <v>100</v>
      </c>
      <c r="J4" s="124">
        <v>8893</v>
      </c>
      <c r="K4" s="291">
        <f>SUM(K5:K51)</f>
        <v>99.999999999999986</v>
      </c>
      <c r="L4" s="124">
        <v>9441</v>
      </c>
      <c r="M4" s="291">
        <f>SUM(M5:M51)</f>
        <v>99.999999999999943</v>
      </c>
      <c r="N4" s="124">
        <v>10226</v>
      </c>
      <c r="O4" s="291">
        <f>SUM(O5:O51)</f>
        <v>99.999999999999972</v>
      </c>
      <c r="P4" s="124">
        <v>9627</v>
      </c>
      <c r="Q4" s="291">
        <f>SUM(Q5:Q51)</f>
        <v>99.999999999999986</v>
      </c>
      <c r="R4" s="124">
        <v>9554</v>
      </c>
      <c r="S4" s="291">
        <f>SUM(S5:S51)</f>
        <v>99.999999999999972</v>
      </c>
      <c r="T4" s="124">
        <v>10770</v>
      </c>
      <c r="U4" s="291">
        <f>SUM(U5:U51)</f>
        <v>99.999999999999957</v>
      </c>
    </row>
    <row r="5" spans="1:23" ht="18" customHeight="1">
      <c r="A5" s="24" t="s">
        <v>646</v>
      </c>
      <c r="B5" s="124">
        <v>557</v>
      </c>
      <c r="C5" s="291">
        <f t="shared" ref="C5:C45" si="0">IF(ISERROR(B5/B$4*100)=TRUE,"-",B5/B$4*100)</f>
        <v>5.0779469413802536</v>
      </c>
      <c r="D5" s="124">
        <v>805</v>
      </c>
      <c r="E5" s="291">
        <f t="shared" ref="E5:E45" si="1">IF(ISERROR(D5/D$4*100)=TRUE,"-",D5/D$4*100)</f>
        <v>7.3168514815488095</v>
      </c>
      <c r="F5" s="124">
        <v>953</v>
      </c>
      <c r="G5" s="291">
        <f t="shared" ref="G5:G45" si="2">IF(ISERROR(F5/F$4*100)=TRUE,"-",F5/F$4*100)</f>
        <v>9.7493606138107403</v>
      </c>
      <c r="H5" s="124">
        <v>1337</v>
      </c>
      <c r="I5" s="291">
        <f t="shared" ref="I5:I45" si="3">IF(ISERROR(H5/H$4*100)=TRUE,"-",H5/H$4*100)</f>
        <v>12.734546147252118</v>
      </c>
      <c r="J5" s="124">
        <v>1375</v>
      </c>
      <c r="K5" s="291">
        <f t="shared" ref="K5:K45" si="4">IF(ISERROR(J5/J$4*100)=TRUE,"-",J5/J$4*100)</f>
        <v>15.461599010457663</v>
      </c>
      <c r="L5" s="124">
        <v>1628</v>
      </c>
      <c r="M5" s="291">
        <f t="shared" ref="M5:M45" si="5">IF(ISERROR(L5/L$4*100)=TRUE,"-",L5/L$4*100)</f>
        <v>17.243936023726299</v>
      </c>
      <c r="N5" s="124">
        <v>1642</v>
      </c>
      <c r="O5" s="291">
        <f t="shared" ref="O5:O45" si="6">IF(ISERROR(N5/N$4*100)=TRUE,"-",N5/N$4*100)</f>
        <v>16.057109329160962</v>
      </c>
      <c r="P5" s="124">
        <v>1633</v>
      </c>
      <c r="Q5" s="291">
        <f t="shared" ref="Q5:Q45" si="7">IF(ISERROR(P5/P$4*100)=TRUE,"-",P5/P$4*100)</f>
        <v>16.962709047470657</v>
      </c>
      <c r="R5" s="124">
        <v>1662</v>
      </c>
      <c r="S5" s="291">
        <f t="shared" ref="S5:S33" si="8">IF(ISERROR(R5/R$4*100)=TRUE,"-",R5/R$4*100)</f>
        <v>17.395855139208706</v>
      </c>
      <c r="T5" s="124">
        <v>2186</v>
      </c>
      <c r="U5" s="291">
        <f t="shared" ref="U5:U45" si="9">IF(ISERROR(T5/T$4*100)=TRUE,"-",T5/T$4*100)</f>
        <v>20.297121634168988</v>
      </c>
    </row>
    <row r="6" spans="1:23" ht="18" customHeight="1">
      <c r="A6" s="24" t="s">
        <v>488</v>
      </c>
      <c r="B6" s="124">
        <v>3155</v>
      </c>
      <c r="C6" s="291">
        <f t="shared" si="0"/>
        <v>28.762877199380071</v>
      </c>
      <c r="D6" s="124">
        <v>2741</v>
      </c>
      <c r="E6" s="291">
        <f t="shared" si="1"/>
        <v>24.913652063261225</v>
      </c>
      <c r="F6" s="124">
        <v>2111</v>
      </c>
      <c r="G6" s="291">
        <f t="shared" si="2"/>
        <v>21.595907928388748</v>
      </c>
      <c r="H6" s="124">
        <v>1823</v>
      </c>
      <c r="I6" s="291">
        <f t="shared" si="3"/>
        <v>17.363558434136582</v>
      </c>
      <c r="J6" s="124">
        <v>1795</v>
      </c>
      <c r="K6" s="291">
        <f t="shared" si="4"/>
        <v>20.184414708197458</v>
      </c>
      <c r="L6" s="124">
        <v>1838</v>
      </c>
      <c r="M6" s="291">
        <f t="shared" si="5"/>
        <v>19.468276665607455</v>
      </c>
      <c r="N6" s="124">
        <v>1594</v>
      </c>
      <c r="O6" s="291">
        <f t="shared" si="6"/>
        <v>15.587717582632504</v>
      </c>
      <c r="P6" s="124">
        <v>1216</v>
      </c>
      <c r="Q6" s="291">
        <f t="shared" si="7"/>
        <v>12.631141580970187</v>
      </c>
      <c r="R6" s="124">
        <v>1225</v>
      </c>
      <c r="S6" s="291">
        <f t="shared" si="8"/>
        <v>12.821854720535903</v>
      </c>
      <c r="T6" s="124">
        <v>1420</v>
      </c>
      <c r="U6" s="291">
        <f t="shared" si="9"/>
        <v>13.184772516248838</v>
      </c>
    </row>
    <row r="7" spans="1:23" ht="18" customHeight="1">
      <c r="A7" s="94" t="s">
        <v>724</v>
      </c>
      <c r="B7" s="124">
        <v>755</v>
      </c>
      <c r="C7" s="291">
        <f t="shared" si="0"/>
        <v>6.8830340049229655</v>
      </c>
      <c r="D7" s="124">
        <v>743</v>
      </c>
      <c r="E7" s="291">
        <f t="shared" si="1"/>
        <v>6.7533175786220685</v>
      </c>
      <c r="F7" s="124">
        <v>662</v>
      </c>
      <c r="G7" s="291">
        <f t="shared" si="2"/>
        <v>6.7723785166240402</v>
      </c>
      <c r="H7" s="124">
        <v>662</v>
      </c>
      <c r="I7" s="291">
        <f t="shared" si="3"/>
        <v>6.3053624154681396</v>
      </c>
      <c r="J7" s="124">
        <v>617</v>
      </c>
      <c r="K7" s="291">
        <f t="shared" si="4"/>
        <v>6.9380411559653661</v>
      </c>
      <c r="L7" s="124">
        <v>593</v>
      </c>
      <c r="M7" s="291">
        <f t="shared" si="5"/>
        <v>6.2811142887406</v>
      </c>
      <c r="N7" s="124">
        <v>860</v>
      </c>
      <c r="O7" s="291">
        <f t="shared" si="6"/>
        <v>8.4099354586348518</v>
      </c>
      <c r="P7" s="124">
        <v>783</v>
      </c>
      <c r="Q7" s="291">
        <f t="shared" si="7"/>
        <v>8.1333748831411654</v>
      </c>
      <c r="R7" s="124">
        <v>875</v>
      </c>
      <c r="S7" s="291">
        <f t="shared" si="8"/>
        <v>9.1584676575256445</v>
      </c>
      <c r="T7" s="124">
        <v>1103</v>
      </c>
      <c r="U7" s="291">
        <f t="shared" si="9"/>
        <v>10.241411327762302</v>
      </c>
    </row>
    <row r="8" spans="1:23" ht="18" customHeight="1">
      <c r="A8" s="24" t="s">
        <v>647</v>
      </c>
      <c r="B8" s="124">
        <v>1445</v>
      </c>
      <c r="C8" s="291">
        <f t="shared" si="0"/>
        <v>13.173488923329382</v>
      </c>
      <c r="D8" s="124">
        <v>1207</v>
      </c>
      <c r="E8" s="291">
        <f t="shared" si="1"/>
        <v>10.970732594073805</v>
      </c>
      <c r="F8" s="124">
        <v>1224</v>
      </c>
      <c r="G8" s="291">
        <f t="shared" si="2"/>
        <v>12.521739130434783</v>
      </c>
      <c r="H8" s="124">
        <v>1249</v>
      </c>
      <c r="I8" s="291">
        <f t="shared" si="3"/>
        <v>11.896371082960282</v>
      </c>
      <c r="J8" s="124">
        <v>1098</v>
      </c>
      <c r="K8" s="291">
        <f t="shared" si="4"/>
        <v>12.346789609805466</v>
      </c>
      <c r="L8" s="124">
        <v>1283</v>
      </c>
      <c r="M8" s="291">
        <f t="shared" si="5"/>
        <v>13.589662112064399</v>
      </c>
      <c r="N8" s="124">
        <v>881</v>
      </c>
      <c r="O8" s="291">
        <f t="shared" si="6"/>
        <v>8.6152943477410524</v>
      </c>
      <c r="P8" s="124">
        <v>892</v>
      </c>
      <c r="Q8" s="291">
        <f t="shared" si="7"/>
        <v>9.2656071465669463</v>
      </c>
      <c r="R8" s="124">
        <v>892</v>
      </c>
      <c r="S8" s="291">
        <f t="shared" si="8"/>
        <v>9.3364036005861415</v>
      </c>
      <c r="T8" s="124">
        <v>1052</v>
      </c>
      <c r="U8" s="291">
        <f t="shared" si="9"/>
        <v>9.7678737233054793</v>
      </c>
    </row>
    <row r="9" spans="1:23" ht="18" customHeight="1">
      <c r="A9" s="24" t="s">
        <v>487</v>
      </c>
      <c r="B9" s="124">
        <v>17</v>
      </c>
      <c r="C9" s="291">
        <f t="shared" si="0"/>
        <v>0.15498222262740449</v>
      </c>
      <c r="D9" s="124">
        <v>12</v>
      </c>
      <c r="E9" s="291">
        <f t="shared" si="1"/>
        <v>0.10907107798582077</v>
      </c>
      <c r="F9" s="124">
        <v>17</v>
      </c>
      <c r="G9" s="291">
        <f t="shared" si="2"/>
        <v>0.17391304347826086</v>
      </c>
      <c r="H9" s="124">
        <v>121</v>
      </c>
      <c r="I9" s="291">
        <f t="shared" si="3"/>
        <v>1.1524907134012763</v>
      </c>
      <c r="J9" s="124">
        <v>133</v>
      </c>
      <c r="K9" s="291">
        <f t="shared" si="4"/>
        <v>1.4955583042842686</v>
      </c>
      <c r="L9" s="124">
        <v>167</v>
      </c>
      <c r="M9" s="291">
        <f t="shared" si="5"/>
        <v>1.7688804152102531</v>
      </c>
      <c r="N9" s="124">
        <v>1026</v>
      </c>
      <c r="O9" s="291">
        <f t="shared" si="6"/>
        <v>10.033248582045767</v>
      </c>
      <c r="P9" s="124">
        <v>1263</v>
      </c>
      <c r="Q9" s="291">
        <f t="shared" si="7"/>
        <v>13.119351822997819</v>
      </c>
      <c r="R9" s="124">
        <v>997</v>
      </c>
      <c r="S9" s="291">
        <f t="shared" si="8"/>
        <v>10.43541971948922</v>
      </c>
      <c r="T9" s="124">
        <v>734</v>
      </c>
      <c r="U9" s="291">
        <f t="shared" si="9"/>
        <v>6.8152274837511602</v>
      </c>
    </row>
    <row r="10" spans="1:23" ht="18" customHeight="1">
      <c r="A10" s="24" t="s">
        <v>489</v>
      </c>
      <c r="B10" s="124">
        <v>303</v>
      </c>
      <c r="C10" s="291">
        <f t="shared" si="0"/>
        <v>2.7623302033002095</v>
      </c>
      <c r="D10" s="124">
        <v>231</v>
      </c>
      <c r="E10" s="291">
        <f t="shared" si="1"/>
        <v>2.0996182512270494</v>
      </c>
      <c r="F10" s="124">
        <v>296</v>
      </c>
      <c r="G10" s="291">
        <f t="shared" si="2"/>
        <v>3.0281329923273659</v>
      </c>
      <c r="H10" s="124">
        <v>313</v>
      </c>
      <c r="I10" s="291">
        <f t="shared" si="3"/>
        <v>2.9812363082198305</v>
      </c>
      <c r="J10" s="124">
        <v>343</v>
      </c>
      <c r="K10" s="291">
        <f t="shared" si="4"/>
        <v>3.8569661531541661</v>
      </c>
      <c r="L10" s="124">
        <v>371</v>
      </c>
      <c r="M10" s="291">
        <f t="shared" si="5"/>
        <v>3.9296684673233764</v>
      </c>
      <c r="N10" s="124">
        <v>443</v>
      </c>
      <c r="O10" s="291">
        <f t="shared" si="6"/>
        <v>4.3320946606688828</v>
      </c>
      <c r="P10" s="124">
        <v>506</v>
      </c>
      <c r="Q10" s="291">
        <f t="shared" si="7"/>
        <v>5.2560506907655551</v>
      </c>
      <c r="R10" s="124">
        <v>577</v>
      </c>
      <c r="S10" s="291">
        <f t="shared" si="8"/>
        <v>6.0393552438769103</v>
      </c>
      <c r="T10" s="124">
        <v>529</v>
      </c>
      <c r="U10" s="291">
        <f t="shared" si="9"/>
        <v>4.9117920148560819</v>
      </c>
    </row>
    <row r="11" spans="1:23" ht="18" customHeight="1">
      <c r="A11" s="24" t="s">
        <v>180</v>
      </c>
      <c r="B11" s="124">
        <v>1381</v>
      </c>
      <c r="C11" s="291">
        <f t="shared" si="0"/>
        <v>12.590026438143859</v>
      </c>
      <c r="D11" s="124">
        <v>1939</v>
      </c>
      <c r="E11" s="291">
        <f t="shared" si="1"/>
        <v>17.624068351208873</v>
      </c>
      <c r="F11" s="124">
        <v>1835</v>
      </c>
      <c r="G11" s="291">
        <f t="shared" si="2"/>
        <v>18.772378516624041</v>
      </c>
      <c r="H11" s="124">
        <v>1782</v>
      </c>
      <c r="I11" s="291">
        <f t="shared" si="3"/>
        <v>16.973045051909704</v>
      </c>
      <c r="J11" s="124">
        <v>847</v>
      </c>
      <c r="K11" s="291">
        <f t="shared" si="4"/>
        <v>9.5243449904419197</v>
      </c>
      <c r="L11" s="124">
        <v>940</v>
      </c>
      <c r="M11" s="291">
        <f t="shared" si="5"/>
        <v>9.9565723969918452</v>
      </c>
      <c r="N11" s="124">
        <v>949</v>
      </c>
      <c r="O11" s="291">
        <f t="shared" si="6"/>
        <v>9.2802659886563674</v>
      </c>
      <c r="P11" s="124">
        <v>664</v>
      </c>
      <c r="Q11" s="291">
        <f t="shared" si="7"/>
        <v>6.8972681001350375</v>
      </c>
      <c r="R11" s="124">
        <v>456</v>
      </c>
      <c r="S11" s="291">
        <f t="shared" si="8"/>
        <v>4.7728700020933639</v>
      </c>
      <c r="T11" s="124">
        <v>495</v>
      </c>
      <c r="U11" s="291">
        <f t="shared" si="9"/>
        <v>4.5961002785515319</v>
      </c>
    </row>
    <row r="12" spans="1:23" ht="18" customHeight="1">
      <c r="A12" s="24" t="s">
        <v>491</v>
      </c>
      <c r="B12" s="124">
        <v>312</v>
      </c>
      <c r="C12" s="291">
        <f t="shared" si="0"/>
        <v>2.8443796152794238</v>
      </c>
      <c r="D12" s="124">
        <v>306</v>
      </c>
      <c r="E12" s="291">
        <f t="shared" si="1"/>
        <v>2.7813124886384295</v>
      </c>
      <c r="F12" s="124">
        <v>299</v>
      </c>
      <c r="G12" s="291">
        <f t="shared" si="2"/>
        <v>3.0588235294117649</v>
      </c>
      <c r="H12" s="124">
        <v>268</v>
      </c>
      <c r="I12" s="291">
        <f t="shared" si="3"/>
        <v>2.5526240594342315</v>
      </c>
      <c r="J12" s="124">
        <v>292</v>
      </c>
      <c r="K12" s="291">
        <f t="shared" si="4"/>
        <v>3.2834813898571911</v>
      </c>
      <c r="L12" s="124">
        <v>283</v>
      </c>
      <c r="M12" s="291">
        <f t="shared" si="5"/>
        <v>2.9975638173922254</v>
      </c>
      <c r="N12" s="124">
        <v>291</v>
      </c>
      <c r="O12" s="291">
        <f t="shared" si="6"/>
        <v>2.8456874633287699</v>
      </c>
      <c r="P12" s="124">
        <v>345</v>
      </c>
      <c r="Q12" s="291">
        <f t="shared" si="7"/>
        <v>3.5836709255219694</v>
      </c>
      <c r="R12" s="124">
        <v>318</v>
      </c>
      <c r="S12" s="291">
        <f t="shared" si="8"/>
        <v>3.3284488172493196</v>
      </c>
      <c r="T12" s="124">
        <v>351</v>
      </c>
      <c r="U12" s="291">
        <f t="shared" si="9"/>
        <v>3.2590529247910864</v>
      </c>
    </row>
    <row r="13" spans="1:23" ht="18" customHeight="1">
      <c r="A13" s="24" t="s">
        <v>490</v>
      </c>
      <c r="B13" s="124">
        <v>770</v>
      </c>
      <c r="C13" s="291">
        <f t="shared" si="0"/>
        <v>7.019783024888322</v>
      </c>
      <c r="D13" s="124">
        <v>746</v>
      </c>
      <c r="E13" s="291">
        <f t="shared" si="1"/>
        <v>6.7805853481185245</v>
      </c>
      <c r="F13" s="124">
        <v>611</v>
      </c>
      <c r="G13" s="291">
        <f t="shared" si="2"/>
        <v>6.250639386189258</v>
      </c>
      <c r="H13" s="124">
        <v>750</v>
      </c>
      <c r="I13" s="291">
        <f t="shared" si="3"/>
        <v>7.1435374797599778</v>
      </c>
      <c r="J13" s="124">
        <v>611</v>
      </c>
      <c r="K13" s="291">
        <f t="shared" si="4"/>
        <v>6.8705723602833695</v>
      </c>
      <c r="L13" s="124">
        <v>562</v>
      </c>
      <c r="M13" s="291">
        <f t="shared" si="5"/>
        <v>5.9527592416057624</v>
      </c>
      <c r="N13" s="124">
        <v>520</v>
      </c>
      <c r="O13" s="291">
        <f t="shared" si="6"/>
        <v>5.0850772540582829</v>
      </c>
      <c r="P13" s="124">
        <v>365</v>
      </c>
      <c r="Q13" s="291">
        <f t="shared" si="7"/>
        <v>3.7914199646826638</v>
      </c>
      <c r="R13" s="124">
        <v>349</v>
      </c>
      <c r="S13" s="291">
        <f t="shared" si="8"/>
        <v>3.6529202428302279</v>
      </c>
      <c r="T13" s="124">
        <v>329</v>
      </c>
      <c r="U13" s="291">
        <f t="shared" si="9"/>
        <v>3.0547818012999071</v>
      </c>
    </row>
    <row r="14" spans="1:23" ht="18" customHeight="1">
      <c r="A14" s="24" t="s">
        <v>493</v>
      </c>
      <c r="B14" s="124">
        <v>154</v>
      </c>
      <c r="C14" s="291">
        <f t="shared" si="0"/>
        <v>1.4039566049776642</v>
      </c>
      <c r="D14" s="124">
        <v>131</v>
      </c>
      <c r="E14" s="291">
        <f t="shared" si="1"/>
        <v>1.1906926013452099</v>
      </c>
      <c r="F14" s="124">
        <v>180</v>
      </c>
      <c r="G14" s="291">
        <f t="shared" si="2"/>
        <v>1.8414322250639386</v>
      </c>
      <c r="H14" s="124">
        <v>300</v>
      </c>
      <c r="I14" s="291">
        <f t="shared" si="3"/>
        <v>2.8574149919039908</v>
      </c>
      <c r="J14" s="124">
        <v>205</v>
      </c>
      <c r="K14" s="291">
        <f t="shared" si="4"/>
        <v>2.3051838524682333</v>
      </c>
      <c r="L14" s="124">
        <v>192</v>
      </c>
      <c r="M14" s="291">
        <f t="shared" si="5"/>
        <v>2.0336828725770575</v>
      </c>
      <c r="N14" s="124">
        <v>240</v>
      </c>
      <c r="O14" s="291">
        <f t="shared" si="6"/>
        <v>2.3469587326422845</v>
      </c>
      <c r="P14" s="124">
        <v>228</v>
      </c>
      <c r="Q14" s="291">
        <f t="shared" si="7"/>
        <v>2.3683390464319101</v>
      </c>
      <c r="R14" s="124">
        <v>239</v>
      </c>
      <c r="S14" s="291">
        <f t="shared" si="8"/>
        <v>2.5015700230270044</v>
      </c>
      <c r="T14" s="124">
        <v>244</v>
      </c>
      <c r="U14" s="291">
        <f t="shared" si="9"/>
        <v>2.2655524605385327</v>
      </c>
    </row>
    <row r="15" spans="1:23" ht="18" customHeight="1">
      <c r="A15" s="24" t="s">
        <v>494</v>
      </c>
      <c r="B15" s="124">
        <v>155</v>
      </c>
      <c r="C15" s="291">
        <f t="shared" si="0"/>
        <v>1.4130732063086882</v>
      </c>
      <c r="D15" s="124">
        <v>119</v>
      </c>
      <c r="E15" s="291">
        <f t="shared" si="1"/>
        <v>1.0816215233593891</v>
      </c>
      <c r="F15" s="124">
        <v>123</v>
      </c>
      <c r="G15" s="291">
        <f t="shared" si="2"/>
        <v>1.2583120204603579</v>
      </c>
      <c r="H15" s="124">
        <v>147</v>
      </c>
      <c r="I15" s="291">
        <f t="shared" si="3"/>
        <v>1.4001333460329555</v>
      </c>
      <c r="J15" s="124">
        <v>225</v>
      </c>
      <c r="K15" s="291">
        <f t="shared" si="4"/>
        <v>2.5300798380748906</v>
      </c>
      <c r="L15" s="124">
        <v>201</v>
      </c>
      <c r="M15" s="291">
        <f t="shared" si="5"/>
        <v>2.1290117572291067</v>
      </c>
      <c r="N15" s="124">
        <v>177</v>
      </c>
      <c r="O15" s="291">
        <f t="shared" si="6"/>
        <v>1.7308820653236845</v>
      </c>
      <c r="P15" s="124">
        <v>205</v>
      </c>
      <c r="Q15" s="291">
        <f t="shared" si="7"/>
        <v>2.1294276513971124</v>
      </c>
      <c r="R15" s="124">
        <v>230</v>
      </c>
      <c r="S15" s="291">
        <f t="shared" si="8"/>
        <v>2.4073686414067406</v>
      </c>
      <c r="T15" s="124">
        <v>225</v>
      </c>
      <c r="U15" s="291">
        <f t="shared" si="9"/>
        <v>2.0891364902506964</v>
      </c>
    </row>
    <row r="16" spans="1:23" ht="18" customHeight="1">
      <c r="A16" s="24" t="s">
        <v>495</v>
      </c>
      <c r="B16" s="124">
        <v>62</v>
      </c>
      <c r="C16" s="291">
        <f t="shared" si="0"/>
        <v>0.56522928252347526</v>
      </c>
      <c r="D16" s="124">
        <v>67</v>
      </c>
      <c r="E16" s="291">
        <f t="shared" si="1"/>
        <v>0.60898018542083265</v>
      </c>
      <c r="F16" s="124">
        <v>59</v>
      </c>
      <c r="G16" s="291">
        <f t="shared" si="2"/>
        <v>0.60358056265984661</v>
      </c>
      <c r="H16" s="124">
        <v>58</v>
      </c>
      <c r="I16" s="291">
        <f t="shared" si="3"/>
        <v>0.55243356510143826</v>
      </c>
      <c r="J16" s="124">
        <v>117</v>
      </c>
      <c r="K16" s="291">
        <f t="shared" si="4"/>
        <v>1.315641515798943</v>
      </c>
      <c r="L16" s="124">
        <v>116</v>
      </c>
      <c r="M16" s="291">
        <f t="shared" si="5"/>
        <v>1.2286834021819724</v>
      </c>
      <c r="N16" s="124">
        <v>125</v>
      </c>
      <c r="O16" s="291">
        <f t="shared" si="6"/>
        <v>1.2223743399178564</v>
      </c>
      <c r="P16" s="124">
        <v>116</v>
      </c>
      <c r="Q16" s="291">
        <f t="shared" si="7"/>
        <v>1.2049444271320244</v>
      </c>
      <c r="R16" s="124">
        <v>143</v>
      </c>
      <c r="S16" s="291">
        <f t="shared" si="8"/>
        <v>1.496755285744191</v>
      </c>
      <c r="T16" s="124">
        <v>176</v>
      </c>
      <c r="U16" s="291">
        <f t="shared" si="9"/>
        <v>1.6341689879294334</v>
      </c>
    </row>
    <row r="17" spans="1:21" ht="18" customHeight="1">
      <c r="A17" s="24" t="s">
        <v>492</v>
      </c>
      <c r="B17" s="124">
        <v>104</v>
      </c>
      <c r="C17" s="291">
        <f t="shared" si="0"/>
        <v>0.94812653842647454</v>
      </c>
      <c r="D17" s="124">
        <v>228</v>
      </c>
      <c r="E17" s="291">
        <f t="shared" si="1"/>
        <v>2.0723504817305947</v>
      </c>
      <c r="F17" s="124">
        <v>106</v>
      </c>
      <c r="G17" s="291">
        <f t="shared" si="2"/>
        <v>1.0843989769820972</v>
      </c>
      <c r="H17" s="124">
        <v>230</v>
      </c>
      <c r="I17" s="291">
        <f t="shared" si="3"/>
        <v>2.1906848271263932</v>
      </c>
      <c r="J17" s="124">
        <v>114</v>
      </c>
      <c r="K17" s="291">
        <f t="shared" si="4"/>
        <v>1.2819071179579444</v>
      </c>
      <c r="L17" s="124">
        <v>81</v>
      </c>
      <c r="M17" s="291">
        <f t="shared" si="5"/>
        <v>0.85795996186844614</v>
      </c>
      <c r="N17" s="124">
        <v>165</v>
      </c>
      <c r="O17" s="291">
        <f t="shared" si="6"/>
        <v>1.6135341286915703</v>
      </c>
      <c r="P17" s="124">
        <v>247</v>
      </c>
      <c r="Q17" s="291">
        <f t="shared" si="7"/>
        <v>2.5657006336345693</v>
      </c>
      <c r="R17" s="124">
        <v>247</v>
      </c>
      <c r="S17" s="291">
        <f t="shared" si="8"/>
        <v>2.5853045844672389</v>
      </c>
      <c r="T17" s="124">
        <v>171</v>
      </c>
      <c r="U17" s="291">
        <f t="shared" si="9"/>
        <v>1.5877437325905293</v>
      </c>
    </row>
    <row r="18" spans="1:21" ht="18" customHeight="1">
      <c r="A18" s="24" t="s">
        <v>499</v>
      </c>
      <c r="B18" s="124">
        <v>35</v>
      </c>
      <c r="C18" s="291">
        <f t="shared" si="0"/>
        <v>0.31908104658583281</v>
      </c>
      <c r="D18" s="124">
        <v>27</v>
      </c>
      <c r="E18" s="291">
        <f t="shared" si="1"/>
        <v>0.24540992546809673</v>
      </c>
      <c r="F18" s="124">
        <v>34</v>
      </c>
      <c r="G18" s="291">
        <f t="shared" si="2"/>
        <v>0.34782608695652173</v>
      </c>
      <c r="H18" s="124">
        <v>46</v>
      </c>
      <c r="I18" s="291">
        <f t="shared" si="3"/>
        <v>0.43813696542527858</v>
      </c>
      <c r="J18" s="124">
        <v>51</v>
      </c>
      <c r="K18" s="291">
        <f t="shared" si="4"/>
        <v>0.57348476329697518</v>
      </c>
      <c r="L18" s="124">
        <v>35</v>
      </c>
      <c r="M18" s="291">
        <f t="shared" si="5"/>
        <v>0.37072344031352611</v>
      </c>
      <c r="N18" s="124">
        <v>42</v>
      </c>
      <c r="O18" s="291">
        <f t="shared" si="6"/>
        <v>0.41071777821239974</v>
      </c>
      <c r="P18" s="124">
        <v>44</v>
      </c>
      <c r="Q18" s="291">
        <f t="shared" si="7"/>
        <v>0.45704788615352654</v>
      </c>
      <c r="R18" s="124">
        <v>69</v>
      </c>
      <c r="S18" s="291">
        <f t="shared" si="8"/>
        <v>0.72221059242202212</v>
      </c>
      <c r="T18" s="124">
        <v>74</v>
      </c>
      <c r="U18" s="291">
        <f t="shared" si="9"/>
        <v>0.68709377901578461</v>
      </c>
    </row>
    <row r="19" spans="1:21" ht="18" customHeight="1">
      <c r="A19" s="24" t="s">
        <v>497</v>
      </c>
      <c r="B19" s="124">
        <v>72</v>
      </c>
      <c r="C19" s="291">
        <f t="shared" si="0"/>
        <v>0.65639529583371314</v>
      </c>
      <c r="D19" s="124">
        <v>79</v>
      </c>
      <c r="E19" s="291">
        <f t="shared" si="1"/>
        <v>0.71805126340665337</v>
      </c>
      <c r="F19" s="124">
        <v>61</v>
      </c>
      <c r="G19" s="291">
        <f t="shared" si="2"/>
        <v>0.62404092071611261</v>
      </c>
      <c r="H19" s="124">
        <v>50</v>
      </c>
      <c r="I19" s="291">
        <f t="shared" si="3"/>
        <v>0.47623583198399849</v>
      </c>
      <c r="J19" s="124">
        <v>55</v>
      </c>
      <c r="K19" s="291">
        <f t="shared" si="4"/>
        <v>0.61846396041830654</v>
      </c>
      <c r="L19" s="124">
        <v>49</v>
      </c>
      <c r="M19" s="291">
        <f t="shared" si="5"/>
        <v>0.51901281643893649</v>
      </c>
      <c r="N19" s="124">
        <v>57</v>
      </c>
      <c r="O19" s="291">
        <f t="shared" si="6"/>
        <v>0.55740269900254258</v>
      </c>
      <c r="P19" s="124">
        <v>53</v>
      </c>
      <c r="Q19" s="291">
        <f t="shared" si="7"/>
        <v>0.55053495377583883</v>
      </c>
      <c r="R19" s="124">
        <v>64</v>
      </c>
      <c r="S19" s="291">
        <f t="shared" si="8"/>
        <v>0.66987649152187567</v>
      </c>
      <c r="T19" s="124">
        <v>69</v>
      </c>
      <c r="U19" s="291">
        <f t="shared" si="9"/>
        <v>0.64066852367688021</v>
      </c>
    </row>
    <row r="20" spans="1:21" ht="18" customHeight="1">
      <c r="A20" s="24" t="s">
        <v>496</v>
      </c>
      <c r="B20" s="124">
        <v>171</v>
      </c>
      <c r="C20" s="291">
        <f t="shared" si="0"/>
        <v>1.5589388276050689</v>
      </c>
      <c r="D20" s="124">
        <v>147</v>
      </c>
      <c r="E20" s="291">
        <f t="shared" si="1"/>
        <v>1.3361207053263042</v>
      </c>
      <c r="F20" s="124">
        <v>109</v>
      </c>
      <c r="G20" s="291">
        <f t="shared" si="2"/>
        <v>1.1150895140664963</v>
      </c>
      <c r="H20" s="124">
        <v>103</v>
      </c>
      <c r="I20" s="291">
        <f t="shared" si="3"/>
        <v>0.98104581388703693</v>
      </c>
      <c r="J20" s="124">
        <v>111</v>
      </c>
      <c r="K20" s="291">
        <f t="shared" si="4"/>
        <v>1.2481727201169459</v>
      </c>
      <c r="L20" s="124">
        <v>107</v>
      </c>
      <c r="M20" s="291">
        <f t="shared" si="5"/>
        <v>1.1333545175299227</v>
      </c>
      <c r="N20" s="124">
        <v>68</v>
      </c>
      <c r="O20" s="291">
        <f t="shared" si="6"/>
        <v>0.66497164091531391</v>
      </c>
      <c r="P20" s="124">
        <v>69</v>
      </c>
      <c r="Q20" s="291">
        <f t="shared" si="7"/>
        <v>0.71673418510439391</v>
      </c>
      <c r="R20" s="124">
        <v>29</v>
      </c>
      <c r="S20" s="291">
        <f t="shared" si="8"/>
        <v>0.3035377852208499</v>
      </c>
      <c r="T20" s="124">
        <v>49</v>
      </c>
      <c r="U20" s="291">
        <f t="shared" si="9"/>
        <v>0.45496750232126276</v>
      </c>
    </row>
    <row r="21" spans="1:21" ht="18" customHeight="1">
      <c r="A21" s="24" t="s">
        <v>498</v>
      </c>
      <c r="B21" s="124">
        <v>44</v>
      </c>
      <c r="C21" s="291">
        <f t="shared" si="0"/>
        <v>0.40113045856504692</v>
      </c>
      <c r="D21" s="124">
        <v>40</v>
      </c>
      <c r="E21" s="291">
        <f t="shared" si="1"/>
        <v>0.36357025995273584</v>
      </c>
      <c r="F21" s="124">
        <v>39</v>
      </c>
      <c r="G21" s="291">
        <f t="shared" si="2"/>
        <v>0.39897698209718668</v>
      </c>
      <c r="H21" s="124">
        <v>28</v>
      </c>
      <c r="I21" s="291">
        <f t="shared" si="3"/>
        <v>0.26669206591103917</v>
      </c>
      <c r="J21" s="124">
        <v>25</v>
      </c>
      <c r="K21" s="291">
        <f t="shared" si="4"/>
        <v>0.28111998200832111</v>
      </c>
      <c r="L21" s="124">
        <v>33</v>
      </c>
      <c r="M21" s="291">
        <f t="shared" si="5"/>
        <v>0.34953924372418177</v>
      </c>
      <c r="N21" s="124">
        <v>32</v>
      </c>
      <c r="O21" s="291">
        <f t="shared" si="6"/>
        <v>0.31292783101897126</v>
      </c>
      <c r="P21" s="124">
        <v>47</v>
      </c>
      <c r="Q21" s="291">
        <f t="shared" si="7"/>
        <v>0.48821024202763064</v>
      </c>
      <c r="R21" s="124">
        <v>52</v>
      </c>
      <c r="S21" s="291">
        <f t="shared" si="8"/>
        <v>0.54427464936152403</v>
      </c>
      <c r="T21" s="124">
        <v>43</v>
      </c>
      <c r="U21" s="291">
        <f t="shared" si="9"/>
        <v>0.39925719591457753</v>
      </c>
    </row>
    <row r="22" spans="1:21" ht="18" customHeight="1">
      <c r="A22" s="24" t="s">
        <v>194</v>
      </c>
      <c r="B22" s="124">
        <v>39</v>
      </c>
      <c r="C22" s="291">
        <f t="shared" si="0"/>
        <v>0.35554745190992798</v>
      </c>
      <c r="D22" s="124">
        <v>48</v>
      </c>
      <c r="E22" s="291">
        <f t="shared" si="1"/>
        <v>0.4362843119432831</v>
      </c>
      <c r="F22" s="124">
        <v>30</v>
      </c>
      <c r="G22" s="291">
        <f t="shared" si="2"/>
        <v>0.30690537084398978</v>
      </c>
      <c r="H22" s="124">
        <v>66</v>
      </c>
      <c r="I22" s="291">
        <f t="shared" si="3"/>
        <v>0.62863129821887798</v>
      </c>
      <c r="J22" s="124">
        <v>40</v>
      </c>
      <c r="K22" s="291">
        <f t="shared" si="4"/>
        <v>0.44979197121331382</v>
      </c>
      <c r="L22" s="124">
        <v>42</v>
      </c>
      <c r="M22" s="291">
        <f t="shared" si="5"/>
        <v>0.44486812837623135</v>
      </c>
      <c r="N22" s="124">
        <v>34</v>
      </c>
      <c r="O22" s="291">
        <f t="shared" si="6"/>
        <v>0.33248582045765696</v>
      </c>
      <c r="P22" s="124">
        <v>34</v>
      </c>
      <c r="Q22" s="291">
        <f t="shared" si="7"/>
        <v>0.3531733665731796</v>
      </c>
      <c r="R22" s="124">
        <v>37</v>
      </c>
      <c r="S22" s="291">
        <f t="shared" si="8"/>
        <v>0.38727234666108434</v>
      </c>
      <c r="T22" s="124">
        <v>29</v>
      </c>
      <c r="U22" s="291">
        <f t="shared" si="9"/>
        <v>0.26926648096564532</v>
      </c>
    </row>
    <row r="23" spans="1:21" ht="18" customHeight="1">
      <c r="A23" s="24" t="s">
        <v>501</v>
      </c>
      <c r="B23" s="124">
        <v>133</v>
      </c>
      <c r="C23" s="291">
        <f t="shared" si="0"/>
        <v>1.2125079770261646</v>
      </c>
      <c r="D23" s="124">
        <v>64</v>
      </c>
      <c r="E23" s="291">
        <f t="shared" si="1"/>
        <v>0.58171241592437739</v>
      </c>
      <c r="F23" s="124">
        <v>64</v>
      </c>
      <c r="G23" s="291">
        <f t="shared" si="2"/>
        <v>0.65473145780051156</v>
      </c>
      <c r="H23" s="124">
        <v>90</v>
      </c>
      <c r="I23" s="291">
        <f t="shared" si="3"/>
        <v>0.85722449757119723</v>
      </c>
      <c r="J23" s="124">
        <v>79</v>
      </c>
      <c r="K23" s="291">
        <f t="shared" si="4"/>
        <v>0.88833914314629481</v>
      </c>
      <c r="L23" s="124">
        <v>45</v>
      </c>
      <c r="M23" s="291">
        <f t="shared" si="5"/>
        <v>0.47664442326024786</v>
      </c>
      <c r="N23" s="124">
        <v>28</v>
      </c>
      <c r="O23" s="291">
        <f t="shared" si="6"/>
        <v>0.27381185214159987</v>
      </c>
      <c r="P23" s="124">
        <v>30</v>
      </c>
      <c r="Q23" s="291">
        <f t="shared" si="7"/>
        <v>0.31162355874104081</v>
      </c>
      <c r="R23" s="124">
        <v>13</v>
      </c>
      <c r="S23" s="291">
        <f t="shared" si="8"/>
        <v>0.13606866234038101</v>
      </c>
      <c r="T23" s="124">
        <v>23</v>
      </c>
      <c r="U23" s="291">
        <f t="shared" si="9"/>
        <v>0.21355617455896006</v>
      </c>
    </row>
    <row r="24" spans="1:21" ht="18" customHeight="1">
      <c r="A24" s="24" t="s">
        <v>500</v>
      </c>
      <c r="B24" s="124">
        <v>10</v>
      </c>
      <c r="C24" s="291">
        <f t="shared" si="0"/>
        <v>9.1166013310237937E-2</v>
      </c>
      <c r="D24" s="124">
        <v>20</v>
      </c>
      <c r="E24" s="291">
        <f t="shared" si="1"/>
        <v>0.18178512997636792</v>
      </c>
      <c r="F24" s="124">
        <v>30</v>
      </c>
      <c r="G24" s="291">
        <f t="shared" si="2"/>
        <v>0.30690537084398978</v>
      </c>
      <c r="H24" s="124">
        <v>20</v>
      </c>
      <c r="I24" s="291">
        <f t="shared" si="3"/>
        <v>0.1904943327935994</v>
      </c>
      <c r="J24" s="124">
        <v>36</v>
      </c>
      <c r="K24" s="291">
        <f t="shared" si="4"/>
        <v>0.40481277409198252</v>
      </c>
      <c r="L24" s="124">
        <v>27</v>
      </c>
      <c r="M24" s="291">
        <f t="shared" si="5"/>
        <v>0.2859866539561487</v>
      </c>
      <c r="N24" s="124">
        <v>42</v>
      </c>
      <c r="O24" s="291">
        <f t="shared" si="6"/>
        <v>0.41071777821239974</v>
      </c>
      <c r="P24" s="124">
        <v>36</v>
      </c>
      <c r="Q24" s="291">
        <f t="shared" si="7"/>
        <v>0.373948270489249</v>
      </c>
      <c r="R24" s="124">
        <v>50</v>
      </c>
      <c r="S24" s="291">
        <f t="shared" si="8"/>
        <v>0.52334100900146541</v>
      </c>
      <c r="T24" s="124">
        <v>20</v>
      </c>
      <c r="U24" s="291">
        <f t="shared" si="9"/>
        <v>0.18570102135561745</v>
      </c>
    </row>
    <row r="25" spans="1:21" ht="18" customHeight="1">
      <c r="A25" s="24" t="s">
        <v>505</v>
      </c>
      <c r="B25" s="124">
        <v>41</v>
      </c>
      <c r="C25" s="291">
        <f t="shared" si="0"/>
        <v>0.37378065457197557</v>
      </c>
      <c r="D25" s="124">
        <v>36</v>
      </c>
      <c r="E25" s="291">
        <f t="shared" si="1"/>
        <v>0.32721323395746227</v>
      </c>
      <c r="F25" s="124">
        <v>38</v>
      </c>
      <c r="G25" s="291">
        <f t="shared" si="2"/>
        <v>0.38874680306905374</v>
      </c>
      <c r="H25" s="124">
        <v>29</v>
      </c>
      <c r="I25" s="291">
        <f t="shared" si="3"/>
        <v>0.27621678255071913</v>
      </c>
      <c r="J25" s="124">
        <v>36</v>
      </c>
      <c r="K25" s="291">
        <f t="shared" si="4"/>
        <v>0.40481277409198252</v>
      </c>
      <c r="L25" s="124">
        <v>21</v>
      </c>
      <c r="M25" s="291">
        <f t="shared" si="5"/>
        <v>0.22243406418811568</v>
      </c>
      <c r="N25" s="124">
        <v>25</v>
      </c>
      <c r="O25" s="291">
        <f t="shared" si="6"/>
        <v>0.24447486798357129</v>
      </c>
      <c r="P25" s="124">
        <v>9</v>
      </c>
      <c r="Q25" s="291">
        <f t="shared" si="7"/>
        <v>9.348706762231225E-2</v>
      </c>
      <c r="R25" s="124">
        <v>11</v>
      </c>
      <c r="S25" s="291">
        <f t="shared" si="8"/>
        <v>0.11513502198032238</v>
      </c>
      <c r="T25" s="124">
        <v>14</v>
      </c>
      <c r="U25" s="291">
        <f t="shared" si="9"/>
        <v>0.12999071494893222</v>
      </c>
    </row>
    <row r="26" spans="1:21" ht="18" customHeight="1">
      <c r="A26" s="24" t="s">
        <v>502</v>
      </c>
      <c r="B26" s="124">
        <v>31</v>
      </c>
      <c r="C26" s="291">
        <f t="shared" si="0"/>
        <v>0.28261464126173763</v>
      </c>
      <c r="D26" s="124">
        <v>32</v>
      </c>
      <c r="E26" s="291">
        <f t="shared" si="1"/>
        <v>0.2908562079621887</v>
      </c>
      <c r="F26" s="124">
        <v>36</v>
      </c>
      <c r="G26" s="291">
        <f t="shared" si="2"/>
        <v>0.36828644501278773</v>
      </c>
      <c r="H26" s="124">
        <v>32</v>
      </c>
      <c r="I26" s="291">
        <f t="shared" si="3"/>
        <v>0.30479093246975902</v>
      </c>
      <c r="J26" s="124">
        <v>27</v>
      </c>
      <c r="K26" s="291">
        <f t="shared" si="4"/>
        <v>0.30360958056898685</v>
      </c>
      <c r="L26" s="124">
        <v>30</v>
      </c>
      <c r="M26" s="291">
        <f t="shared" si="5"/>
        <v>0.31776294884016526</v>
      </c>
      <c r="N26" s="124">
        <v>26</v>
      </c>
      <c r="O26" s="291">
        <f t="shared" si="6"/>
        <v>0.25425386270291411</v>
      </c>
      <c r="P26" s="124">
        <v>27</v>
      </c>
      <c r="Q26" s="291">
        <f t="shared" si="7"/>
        <v>0.28046120286693677</v>
      </c>
      <c r="R26" s="124">
        <v>27</v>
      </c>
      <c r="S26" s="291">
        <f t="shared" si="8"/>
        <v>0.28260414486079133</v>
      </c>
      <c r="T26" s="124">
        <v>13</v>
      </c>
      <c r="U26" s="291">
        <f t="shared" si="9"/>
        <v>0.12070566388115134</v>
      </c>
    </row>
    <row r="27" spans="1:21" ht="18" customHeight="1">
      <c r="A27" s="24" t="s">
        <v>204</v>
      </c>
      <c r="B27" s="124">
        <v>50</v>
      </c>
      <c r="C27" s="291">
        <f t="shared" si="0"/>
        <v>0.45583006655118968</v>
      </c>
      <c r="D27" s="124">
        <v>38</v>
      </c>
      <c r="E27" s="291">
        <f t="shared" si="1"/>
        <v>0.34539174695509911</v>
      </c>
      <c r="F27" s="124">
        <v>29</v>
      </c>
      <c r="G27" s="291">
        <f t="shared" si="2"/>
        <v>0.29667519181585678</v>
      </c>
      <c r="H27" s="124">
        <v>33</v>
      </c>
      <c r="I27" s="291">
        <f t="shared" si="3"/>
        <v>0.31431564910943899</v>
      </c>
      <c r="J27" s="124">
        <v>20</v>
      </c>
      <c r="K27" s="291">
        <f t="shared" si="4"/>
        <v>0.22489598560665691</v>
      </c>
      <c r="L27" s="124">
        <v>20</v>
      </c>
      <c r="M27" s="291">
        <f t="shared" si="5"/>
        <v>0.21184196589344351</v>
      </c>
      <c r="N27" s="124">
        <v>6</v>
      </c>
      <c r="O27" s="291">
        <f t="shared" si="6"/>
        <v>5.8673968316057104E-2</v>
      </c>
      <c r="P27" s="124">
        <v>16</v>
      </c>
      <c r="Q27" s="291">
        <f t="shared" si="7"/>
        <v>0.1661992313285551</v>
      </c>
      <c r="R27" s="124">
        <v>16</v>
      </c>
      <c r="S27" s="291">
        <f t="shared" si="8"/>
        <v>0.16746912288046892</v>
      </c>
      <c r="T27" s="124">
        <v>12</v>
      </c>
      <c r="U27" s="291">
        <f t="shared" si="9"/>
        <v>0.11142061281337048</v>
      </c>
    </row>
    <row r="28" spans="1:21" ht="18" customHeight="1">
      <c r="A28" s="24" t="s">
        <v>503</v>
      </c>
      <c r="B28" s="124">
        <v>18</v>
      </c>
      <c r="C28" s="291">
        <f t="shared" si="0"/>
        <v>0.16409882395842829</v>
      </c>
      <c r="D28" s="124">
        <v>40</v>
      </c>
      <c r="E28" s="291">
        <f t="shared" si="1"/>
        <v>0.36357025995273584</v>
      </c>
      <c r="F28" s="124">
        <v>23</v>
      </c>
      <c r="G28" s="291">
        <f t="shared" si="2"/>
        <v>0.23529411764705879</v>
      </c>
      <c r="H28" s="124">
        <v>9</v>
      </c>
      <c r="I28" s="291">
        <f t="shared" si="3"/>
        <v>8.572244975711972E-2</v>
      </c>
      <c r="J28" s="124">
        <v>13</v>
      </c>
      <c r="K28" s="291">
        <f t="shared" si="4"/>
        <v>0.146182390644327</v>
      </c>
      <c r="L28" s="124">
        <v>7</v>
      </c>
      <c r="M28" s="291">
        <f t="shared" si="5"/>
        <v>7.4144688062705216E-2</v>
      </c>
      <c r="N28" s="124">
        <v>12</v>
      </c>
      <c r="O28" s="291">
        <f t="shared" si="6"/>
        <v>0.11734793663211421</v>
      </c>
      <c r="P28" s="124">
        <v>16</v>
      </c>
      <c r="Q28" s="291">
        <f t="shared" si="7"/>
        <v>0.1661992313285551</v>
      </c>
      <c r="R28" s="124">
        <v>13</v>
      </c>
      <c r="S28" s="291">
        <f t="shared" si="8"/>
        <v>0.13606866234038101</v>
      </c>
      <c r="T28" s="124">
        <v>12</v>
      </c>
      <c r="U28" s="291">
        <f t="shared" si="9"/>
        <v>0.11142061281337048</v>
      </c>
    </row>
    <row r="29" spans="1:21" ht="18" customHeight="1">
      <c r="A29" s="292" t="s">
        <v>648</v>
      </c>
      <c r="B29" s="124">
        <v>6</v>
      </c>
      <c r="C29" s="291">
        <f t="shared" si="0"/>
        <v>5.4699607986142769E-2</v>
      </c>
      <c r="D29" s="124" t="s">
        <v>49</v>
      </c>
      <c r="E29" s="291" t="str">
        <f t="shared" si="1"/>
        <v>-</v>
      </c>
      <c r="F29" s="124">
        <v>4</v>
      </c>
      <c r="G29" s="291">
        <f t="shared" si="2"/>
        <v>4.0920716112531973E-2</v>
      </c>
      <c r="H29" s="124">
        <v>4</v>
      </c>
      <c r="I29" s="291">
        <f t="shared" si="3"/>
        <v>3.8098866558719878E-2</v>
      </c>
      <c r="J29" s="124">
        <v>2</v>
      </c>
      <c r="K29" s="291">
        <f t="shared" si="4"/>
        <v>2.248959856066569E-2</v>
      </c>
      <c r="L29" s="124">
        <v>1</v>
      </c>
      <c r="M29" s="291">
        <f t="shared" si="5"/>
        <v>1.0592098294672173E-2</v>
      </c>
      <c r="N29" s="124" t="s">
        <v>49</v>
      </c>
      <c r="O29" s="291" t="str">
        <f t="shared" si="6"/>
        <v>-</v>
      </c>
      <c r="P29" s="124">
        <v>3</v>
      </c>
      <c r="Q29" s="291">
        <f t="shared" si="7"/>
        <v>3.116235587410408E-2</v>
      </c>
      <c r="R29" s="124">
        <v>2</v>
      </c>
      <c r="S29" s="291">
        <f t="shared" si="8"/>
        <v>2.0933640360058615E-2</v>
      </c>
      <c r="T29" s="124">
        <v>12</v>
      </c>
      <c r="U29" s="291">
        <f t="shared" si="9"/>
        <v>0.11142061281337048</v>
      </c>
    </row>
    <row r="30" spans="1:21" ht="18" customHeight="1">
      <c r="A30" s="24" t="s">
        <v>504</v>
      </c>
      <c r="B30" s="124">
        <v>22</v>
      </c>
      <c r="C30" s="291">
        <f t="shared" si="0"/>
        <v>0.20056522928252346</v>
      </c>
      <c r="D30" s="124">
        <v>7</v>
      </c>
      <c r="E30" s="291">
        <f t="shared" si="1"/>
        <v>6.3624795491728781E-2</v>
      </c>
      <c r="F30" s="124">
        <v>17</v>
      </c>
      <c r="G30" s="291">
        <f t="shared" si="2"/>
        <v>0.17391304347826086</v>
      </c>
      <c r="H30" s="124">
        <v>14</v>
      </c>
      <c r="I30" s="291">
        <f t="shared" si="3"/>
        <v>0.13334603295551958</v>
      </c>
      <c r="J30" s="124">
        <v>9</v>
      </c>
      <c r="K30" s="291">
        <f t="shared" si="4"/>
        <v>0.10120319352299563</v>
      </c>
      <c r="L30" s="124">
        <v>28</v>
      </c>
      <c r="M30" s="291">
        <f t="shared" si="5"/>
        <v>0.29657875225082087</v>
      </c>
      <c r="N30" s="124">
        <v>30</v>
      </c>
      <c r="O30" s="291">
        <f t="shared" si="6"/>
        <v>0.29336984158028556</v>
      </c>
      <c r="P30" s="124">
        <v>14</v>
      </c>
      <c r="Q30" s="291">
        <f t="shared" si="7"/>
        <v>0.1454243274124857</v>
      </c>
      <c r="R30" s="124">
        <v>10</v>
      </c>
      <c r="S30" s="291">
        <f t="shared" si="8"/>
        <v>0.10466820180029307</v>
      </c>
      <c r="T30" s="124">
        <v>10</v>
      </c>
      <c r="U30" s="291">
        <f t="shared" si="9"/>
        <v>9.2850510677808723E-2</v>
      </c>
    </row>
    <row r="31" spans="1:21" ht="18" customHeight="1">
      <c r="A31" s="24" t="s">
        <v>507</v>
      </c>
      <c r="B31" s="124">
        <v>5</v>
      </c>
      <c r="C31" s="291">
        <f t="shared" si="0"/>
        <v>4.5583006655118968E-2</v>
      </c>
      <c r="D31" s="124">
        <v>7</v>
      </c>
      <c r="E31" s="291">
        <f t="shared" si="1"/>
        <v>6.3624795491728781E-2</v>
      </c>
      <c r="F31" s="124">
        <v>6</v>
      </c>
      <c r="G31" s="291">
        <f t="shared" si="2"/>
        <v>6.1381074168797949E-2</v>
      </c>
      <c r="H31" s="124">
        <v>7</v>
      </c>
      <c r="I31" s="291">
        <f t="shared" si="3"/>
        <v>6.6673016477759792E-2</v>
      </c>
      <c r="J31" s="124">
        <v>7</v>
      </c>
      <c r="K31" s="291">
        <f t="shared" si="4"/>
        <v>7.8713594962329922E-2</v>
      </c>
      <c r="L31" s="124">
        <v>9</v>
      </c>
      <c r="M31" s="291">
        <f t="shared" si="5"/>
        <v>9.532888465204957E-2</v>
      </c>
      <c r="N31" s="124">
        <v>6</v>
      </c>
      <c r="O31" s="291">
        <f t="shared" si="6"/>
        <v>5.8673968316057104E-2</v>
      </c>
      <c r="P31" s="124">
        <v>5</v>
      </c>
      <c r="Q31" s="291">
        <f t="shared" si="7"/>
        <v>5.1937259790173468E-2</v>
      </c>
      <c r="R31" s="124">
        <v>9</v>
      </c>
      <c r="S31" s="291">
        <f t="shared" si="8"/>
        <v>9.4201381620263758E-2</v>
      </c>
      <c r="T31" s="124">
        <v>9</v>
      </c>
      <c r="U31" s="291">
        <f t="shared" si="9"/>
        <v>8.3565459610027856E-2</v>
      </c>
    </row>
    <row r="32" spans="1:21" ht="18" customHeight="1">
      <c r="A32" s="24" t="s">
        <v>649</v>
      </c>
      <c r="B32" s="124">
        <v>6</v>
      </c>
      <c r="C32" s="291">
        <f t="shared" si="0"/>
        <v>5.4699607986142769E-2</v>
      </c>
      <c r="D32" s="124">
        <v>1</v>
      </c>
      <c r="E32" s="291">
        <f t="shared" si="1"/>
        <v>9.0892564988183967E-3</v>
      </c>
      <c r="F32" s="124">
        <v>4</v>
      </c>
      <c r="G32" s="291">
        <f t="shared" si="2"/>
        <v>4.0920716112531973E-2</v>
      </c>
      <c r="H32" s="124">
        <v>5</v>
      </c>
      <c r="I32" s="291">
        <f t="shared" si="3"/>
        <v>4.7623583198399849E-2</v>
      </c>
      <c r="J32" s="124">
        <v>6</v>
      </c>
      <c r="K32" s="291">
        <f t="shared" si="4"/>
        <v>6.7468795681997082E-2</v>
      </c>
      <c r="L32" s="124">
        <v>1</v>
      </c>
      <c r="M32" s="291">
        <f t="shared" si="5"/>
        <v>1.0592098294672173E-2</v>
      </c>
      <c r="N32" s="124">
        <v>20</v>
      </c>
      <c r="O32" s="291">
        <f t="shared" si="6"/>
        <v>0.19557989438685705</v>
      </c>
      <c r="P32" s="124">
        <v>15</v>
      </c>
      <c r="Q32" s="291">
        <f t="shared" si="7"/>
        <v>0.1558117793705204</v>
      </c>
      <c r="R32" s="124">
        <v>8</v>
      </c>
      <c r="S32" s="291">
        <f t="shared" si="8"/>
        <v>8.3734561440234459E-2</v>
      </c>
      <c r="T32" s="124">
        <v>8</v>
      </c>
      <c r="U32" s="291">
        <f t="shared" si="9"/>
        <v>7.4280408542246976E-2</v>
      </c>
    </row>
    <row r="33" spans="1:21" ht="18" customHeight="1">
      <c r="A33" s="24" t="s">
        <v>511</v>
      </c>
      <c r="B33" s="124">
        <v>85</v>
      </c>
      <c r="C33" s="291">
        <f t="shared" si="0"/>
        <v>0.77491111313702254</v>
      </c>
      <c r="D33" s="124">
        <v>35</v>
      </c>
      <c r="E33" s="291">
        <f t="shared" si="1"/>
        <v>0.3181239774586439</v>
      </c>
      <c r="F33" s="124">
        <v>12</v>
      </c>
      <c r="G33" s="291">
        <f t="shared" si="2"/>
        <v>0.1227621483375959</v>
      </c>
      <c r="H33" s="124">
        <v>12</v>
      </c>
      <c r="I33" s="291">
        <f t="shared" si="3"/>
        <v>0.11429659967615964</v>
      </c>
      <c r="J33" s="124">
        <v>12</v>
      </c>
      <c r="K33" s="291">
        <f t="shared" si="4"/>
        <v>0.13493759136399416</v>
      </c>
      <c r="L33" s="124">
        <v>8</v>
      </c>
      <c r="M33" s="291">
        <f t="shared" si="5"/>
        <v>8.4736786357377386E-2</v>
      </c>
      <c r="N33" s="124">
        <v>5</v>
      </c>
      <c r="O33" s="291">
        <f t="shared" si="6"/>
        <v>4.8894973596714263E-2</v>
      </c>
      <c r="P33" s="124">
        <v>2</v>
      </c>
      <c r="Q33" s="291">
        <f t="shared" si="7"/>
        <v>2.0774903916069388E-2</v>
      </c>
      <c r="R33" s="124">
        <v>3</v>
      </c>
      <c r="S33" s="291">
        <f t="shared" si="8"/>
        <v>3.1400460540087924E-2</v>
      </c>
      <c r="T33" s="124">
        <v>6</v>
      </c>
      <c r="U33" s="291">
        <f t="shared" si="9"/>
        <v>5.5710306406685242E-2</v>
      </c>
    </row>
    <row r="34" spans="1:21" ht="18" customHeight="1">
      <c r="A34" s="24" t="s">
        <v>508</v>
      </c>
      <c r="B34" s="124">
        <v>13</v>
      </c>
      <c r="C34" s="291">
        <f t="shared" si="0"/>
        <v>0.11851581730330932</v>
      </c>
      <c r="D34" s="124">
        <v>13</v>
      </c>
      <c r="E34" s="291">
        <f t="shared" si="1"/>
        <v>0.11816033448463915</v>
      </c>
      <c r="F34" s="124">
        <v>15</v>
      </c>
      <c r="G34" s="291">
        <f t="shared" si="2"/>
        <v>0.15345268542199489</v>
      </c>
      <c r="H34" s="124">
        <v>17</v>
      </c>
      <c r="I34" s="291">
        <f t="shared" si="3"/>
        <v>0.16192018287455948</v>
      </c>
      <c r="J34" s="124">
        <v>7</v>
      </c>
      <c r="K34" s="291">
        <f t="shared" si="4"/>
        <v>7.8713594962329922E-2</v>
      </c>
      <c r="L34" s="124">
        <v>8</v>
      </c>
      <c r="M34" s="291">
        <f t="shared" si="5"/>
        <v>8.4736786357377386E-2</v>
      </c>
      <c r="N34" s="124">
        <v>7</v>
      </c>
      <c r="O34" s="291">
        <f t="shared" si="6"/>
        <v>6.8452963035399966E-2</v>
      </c>
      <c r="P34" s="124">
        <v>4</v>
      </c>
      <c r="Q34" s="291">
        <f t="shared" si="7"/>
        <v>4.1549807832138776E-2</v>
      </c>
      <c r="R34" s="124">
        <v>0</v>
      </c>
      <c r="S34" s="291" t="s">
        <v>220</v>
      </c>
      <c r="T34" s="124">
        <v>6</v>
      </c>
      <c r="U34" s="291">
        <f t="shared" si="9"/>
        <v>5.5710306406685242E-2</v>
      </c>
    </row>
    <row r="35" spans="1:21" ht="18" customHeight="1">
      <c r="A35" s="24" t="s">
        <v>650</v>
      </c>
      <c r="B35" s="124">
        <v>10</v>
      </c>
      <c r="C35" s="291">
        <f t="shared" si="0"/>
        <v>9.1166013310237937E-2</v>
      </c>
      <c r="D35" s="124">
        <v>2</v>
      </c>
      <c r="E35" s="291">
        <f t="shared" si="1"/>
        <v>1.8178512997636793E-2</v>
      </c>
      <c r="F35" s="124" t="s">
        <v>49</v>
      </c>
      <c r="G35" s="291" t="str">
        <f t="shared" si="2"/>
        <v>-</v>
      </c>
      <c r="H35" s="124" t="s">
        <v>49</v>
      </c>
      <c r="I35" s="291" t="str">
        <f t="shared" si="3"/>
        <v>-</v>
      </c>
      <c r="J35" s="124">
        <v>8</v>
      </c>
      <c r="K35" s="291">
        <f t="shared" si="4"/>
        <v>8.9958394242662762E-2</v>
      </c>
      <c r="L35" s="124">
        <v>1</v>
      </c>
      <c r="M35" s="291">
        <f t="shared" si="5"/>
        <v>1.0592098294672173E-2</v>
      </c>
      <c r="N35" s="124">
        <v>11</v>
      </c>
      <c r="O35" s="291">
        <f t="shared" si="6"/>
        <v>0.10756894191277137</v>
      </c>
      <c r="P35" s="124" t="s">
        <v>49</v>
      </c>
      <c r="Q35" s="291" t="str">
        <f t="shared" si="7"/>
        <v>-</v>
      </c>
      <c r="R35" s="124">
        <v>20</v>
      </c>
      <c r="S35" s="291">
        <f t="shared" ref="S35:S45" si="10">IF(ISERROR(R35/R$4*100)=TRUE,"-",R35/R$4*100)</f>
        <v>0.20933640360058614</v>
      </c>
      <c r="T35" s="124">
        <v>5</v>
      </c>
      <c r="U35" s="291">
        <f t="shared" si="9"/>
        <v>4.6425255338904362E-2</v>
      </c>
    </row>
    <row r="36" spans="1:21" ht="18" customHeight="1">
      <c r="A36" s="24" t="s">
        <v>651</v>
      </c>
      <c r="B36" s="124">
        <v>8</v>
      </c>
      <c r="C36" s="291">
        <f t="shared" si="0"/>
        <v>7.2932810648190363E-2</v>
      </c>
      <c r="D36" s="124">
        <v>13</v>
      </c>
      <c r="E36" s="291">
        <f t="shared" si="1"/>
        <v>0.11816033448463915</v>
      </c>
      <c r="F36" s="124" t="s">
        <v>49</v>
      </c>
      <c r="G36" s="291" t="str">
        <f t="shared" si="2"/>
        <v>-</v>
      </c>
      <c r="H36" s="124">
        <v>1</v>
      </c>
      <c r="I36" s="291">
        <f t="shared" si="3"/>
        <v>9.5247166396799695E-3</v>
      </c>
      <c r="J36" s="124" t="s">
        <v>49</v>
      </c>
      <c r="K36" s="291" t="str">
        <f t="shared" si="4"/>
        <v>-</v>
      </c>
      <c r="L36" s="124" t="s">
        <v>49</v>
      </c>
      <c r="M36" s="291" t="str">
        <f t="shared" si="5"/>
        <v>-</v>
      </c>
      <c r="N36" s="124">
        <v>1</v>
      </c>
      <c r="O36" s="291">
        <f t="shared" si="6"/>
        <v>9.7789947193428518E-3</v>
      </c>
      <c r="P36" s="124">
        <v>3</v>
      </c>
      <c r="Q36" s="291">
        <f t="shared" si="7"/>
        <v>3.116235587410408E-2</v>
      </c>
      <c r="R36" s="32">
        <v>4</v>
      </c>
      <c r="S36" s="291">
        <f t="shared" si="10"/>
        <v>4.186728072011723E-2</v>
      </c>
      <c r="T36" s="32">
        <v>5</v>
      </c>
      <c r="U36" s="291">
        <f t="shared" si="9"/>
        <v>4.6425255338904362E-2</v>
      </c>
    </row>
    <row r="37" spans="1:21" ht="18" customHeight="1">
      <c r="A37" s="24" t="s">
        <v>652</v>
      </c>
      <c r="B37" s="124">
        <v>14</v>
      </c>
      <c r="C37" s="291">
        <f t="shared" si="0"/>
        <v>0.12763241863433314</v>
      </c>
      <c r="D37" s="124">
        <v>10</v>
      </c>
      <c r="E37" s="291">
        <f t="shared" si="1"/>
        <v>9.089256498818396E-2</v>
      </c>
      <c r="F37" s="124">
        <v>3</v>
      </c>
      <c r="G37" s="291">
        <f t="shared" si="2"/>
        <v>3.0690537084398974E-2</v>
      </c>
      <c r="H37" s="124">
        <v>2</v>
      </c>
      <c r="I37" s="291">
        <f t="shared" si="3"/>
        <v>1.9049433279359939E-2</v>
      </c>
      <c r="J37" s="124" t="s">
        <v>49</v>
      </c>
      <c r="K37" s="291" t="str">
        <f t="shared" si="4"/>
        <v>-</v>
      </c>
      <c r="L37" s="124">
        <v>1</v>
      </c>
      <c r="M37" s="291">
        <f t="shared" si="5"/>
        <v>1.0592098294672173E-2</v>
      </c>
      <c r="N37" s="124">
        <v>8</v>
      </c>
      <c r="O37" s="291">
        <f t="shared" si="6"/>
        <v>7.8231957754742815E-2</v>
      </c>
      <c r="P37" s="124">
        <v>24</v>
      </c>
      <c r="Q37" s="291">
        <f t="shared" si="7"/>
        <v>0.24929884699283264</v>
      </c>
      <c r="R37" s="124">
        <v>10</v>
      </c>
      <c r="S37" s="291">
        <f t="shared" si="10"/>
        <v>0.10466820180029307</v>
      </c>
      <c r="T37" s="124">
        <v>4</v>
      </c>
      <c r="U37" s="291">
        <f t="shared" si="9"/>
        <v>3.7140204271123488E-2</v>
      </c>
    </row>
    <row r="38" spans="1:21" ht="18" customHeight="1">
      <c r="A38" s="200" t="s">
        <v>516</v>
      </c>
      <c r="B38" s="124">
        <v>1</v>
      </c>
      <c r="C38" s="291">
        <f t="shared" si="0"/>
        <v>9.1166013310237954E-3</v>
      </c>
      <c r="D38" s="124">
        <v>4</v>
      </c>
      <c r="E38" s="291">
        <f t="shared" si="1"/>
        <v>3.6357025995273587E-2</v>
      </c>
      <c r="F38" s="124">
        <v>4</v>
      </c>
      <c r="G38" s="291">
        <f t="shared" si="2"/>
        <v>4.0920716112531973E-2</v>
      </c>
      <c r="H38" s="124">
        <v>5</v>
      </c>
      <c r="I38" s="291">
        <f t="shared" si="3"/>
        <v>4.7623583198399849E-2</v>
      </c>
      <c r="J38" s="124">
        <v>1</v>
      </c>
      <c r="K38" s="291">
        <f t="shared" si="4"/>
        <v>1.1244799280332845E-2</v>
      </c>
      <c r="L38" s="124">
        <v>1</v>
      </c>
      <c r="M38" s="291">
        <f t="shared" si="5"/>
        <v>1.0592098294672173E-2</v>
      </c>
      <c r="N38" s="124" t="s">
        <v>49</v>
      </c>
      <c r="O38" s="291" t="str">
        <f t="shared" si="6"/>
        <v>-</v>
      </c>
      <c r="P38" s="124">
        <v>1</v>
      </c>
      <c r="Q38" s="291">
        <f t="shared" si="7"/>
        <v>1.0387451958034694E-2</v>
      </c>
      <c r="R38" s="124">
        <v>1</v>
      </c>
      <c r="S38" s="291">
        <f t="shared" si="10"/>
        <v>1.0466820180029307E-2</v>
      </c>
      <c r="T38" s="124">
        <v>4</v>
      </c>
      <c r="U38" s="291">
        <f t="shared" si="9"/>
        <v>3.7140204271123488E-2</v>
      </c>
    </row>
    <row r="39" spans="1:21" ht="18" customHeight="1">
      <c r="A39" s="24" t="s">
        <v>518</v>
      </c>
      <c r="B39" s="124" t="s">
        <v>49</v>
      </c>
      <c r="C39" s="291" t="str">
        <f t="shared" si="0"/>
        <v>-</v>
      </c>
      <c r="D39" s="124">
        <v>2</v>
      </c>
      <c r="E39" s="291">
        <f t="shared" si="1"/>
        <v>1.8178512997636793E-2</v>
      </c>
      <c r="F39" s="124" t="s">
        <v>49</v>
      </c>
      <c r="G39" s="291" t="str">
        <f t="shared" si="2"/>
        <v>-</v>
      </c>
      <c r="H39" s="124">
        <v>1</v>
      </c>
      <c r="I39" s="291">
        <f t="shared" si="3"/>
        <v>9.5247166396799695E-3</v>
      </c>
      <c r="J39" s="124" t="s">
        <v>49</v>
      </c>
      <c r="K39" s="291" t="str">
        <f t="shared" si="4"/>
        <v>-</v>
      </c>
      <c r="L39" s="124" t="s">
        <v>49</v>
      </c>
      <c r="M39" s="291" t="str">
        <f t="shared" si="5"/>
        <v>-</v>
      </c>
      <c r="N39" s="124" t="s">
        <v>49</v>
      </c>
      <c r="O39" s="291" t="str">
        <f t="shared" si="6"/>
        <v>-</v>
      </c>
      <c r="P39" s="124" t="s">
        <v>49</v>
      </c>
      <c r="Q39" s="291" t="str">
        <f t="shared" si="7"/>
        <v>-</v>
      </c>
      <c r="R39" s="124" t="s">
        <v>49</v>
      </c>
      <c r="S39" s="291" t="str">
        <f t="shared" si="10"/>
        <v>-</v>
      </c>
      <c r="T39" s="124">
        <v>3</v>
      </c>
      <c r="U39" s="291">
        <f t="shared" si="9"/>
        <v>2.7855153203342621E-2</v>
      </c>
    </row>
    <row r="40" spans="1:21" ht="18" customHeight="1">
      <c r="A40" s="24" t="s">
        <v>506</v>
      </c>
      <c r="B40" s="124">
        <v>56</v>
      </c>
      <c r="C40" s="291">
        <f t="shared" si="0"/>
        <v>0.51052967453733256</v>
      </c>
      <c r="D40" s="124">
        <v>43</v>
      </c>
      <c r="E40" s="291">
        <f t="shared" si="1"/>
        <v>0.39083802944919105</v>
      </c>
      <c r="F40" s="124">
        <v>22</v>
      </c>
      <c r="G40" s="291">
        <f t="shared" si="2"/>
        <v>0.22506393861892582</v>
      </c>
      <c r="H40" s="124">
        <v>23</v>
      </c>
      <c r="I40" s="291">
        <f t="shared" si="3"/>
        <v>0.21906848271263929</v>
      </c>
      <c r="J40" s="124">
        <v>9</v>
      </c>
      <c r="K40" s="291">
        <f t="shared" si="4"/>
        <v>0.10120319352299563</v>
      </c>
      <c r="L40" s="124">
        <v>13</v>
      </c>
      <c r="M40" s="291">
        <f t="shared" si="5"/>
        <v>0.13769727783073826</v>
      </c>
      <c r="N40" s="124">
        <v>7</v>
      </c>
      <c r="O40" s="291">
        <f t="shared" si="6"/>
        <v>6.8452963035399966E-2</v>
      </c>
      <c r="P40" s="124">
        <v>8</v>
      </c>
      <c r="Q40" s="291">
        <f t="shared" si="7"/>
        <v>8.3099615664277551E-2</v>
      </c>
      <c r="R40" s="124">
        <v>14</v>
      </c>
      <c r="S40" s="291">
        <f t="shared" si="10"/>
        <v>0.14653548252041029</v>
      </c>
      <c r="T40" s="124">
        <v>2</v>
      </c>
      <c r="U40" s="291">
        <f t="shared" si="9"/>
        <v>1.8570102135561744E-2</v>
      </c>
    </row>
    <row r="41" spans="1:21" ht="18" customHeight="1">
      <c r="A41" s="24" t="s">
        <v>517</v>
      </c>
      <c r="B41" s="124" t="s">
        <v>49</v>
      </c>
      <c r="C41" s="291" t="str">
        <f t="shared" si="0"/>
        <v>-</v>
      </c>
      <c r="D41" s="124">
        <v>1</v>
      </c>
      <c r="E41" s="291">
        <f t="shared" si="1"/>
        <v>9.0892564988183967E-3</v>
      </c>
      <c r="F41" s="124" t="s">
        <v>49</v>
      </c>
      <c r="G41" s="291" t="str">
        <f t="shared" si="2"/>
        <v>-</v>
      </c>
      <c r="H41" s="124" t="s">
        <v>49</v>
      </c>
      <c r="I41" s="291" t="str">
        <f t="shared" si="3"/>
        <v>-</v>
      </c>
      <c r="J41" s="124">
        <v>3</v>
      </c>
      <c r="K41" s="291">
        <f t="shared" si="4"/>
        <v>3.3734397840998541E-2</v>
      </c>
      <c r="L41" s="124" t="s">
        <v>49</v>
      </c>
      <c r="M41" s="291" t="str">
        <f t="shared" si="5"/>
        <v>-</v>
      </c>
      <c r="N41" s="124">
        <v>1</v>
      </c>
      <c r="O41" s="291">
        <f t="shared" si="6"/>
        <v>9.7789947193428518E-3</v>
      </c>
      <c r="P41" s="124">
        <v>1</v>
      </c>
      <c r="Q41" s="291">
        <f t="shared" si="7"/>
        <v>1.0387451958034694E-2</v>
      </c>
      <c r="R41" s="124">
        <v>3</v>
      </c>
      <c r="S41" s="291">
        <f t="shared" si="10"/>
        <v>3.1400460540087924E-2</v>
      </c>
      <c r="T41" s="124">
        <v>2</v>
      </c>
      <c r="U41" s="291">
        <f t="shared" si="9"/>
        <v>1.8570102135561744E-2</v>
      </c>
    </row>
    <row r="42" spans="1:21" ht="18" customHeight="1">
      <c r="A42" s="24" t="s">
        <v>512</v>
      </c>
      <c r="B42" s="124" t="s">
        <v>49</v>
      </c>
      <c r="C42" s="291" t="str">
        <f t="shared" si="0"/>
        <v>-</v>
      </c>
      <c r="D42" s="124">
        <v>3</v>
      </c>
      <c r="E42" s="291">
        <f t="shared" si="1"/>
        <v>2.7267769496455194E-2</v>
      </c>
      <c r="F42" s="124" t="s">
        <v>49</v>
      </c>
      <c r="G42" s="291" t="str">
        <f t="shared" si="2"/>
        <v>-</v>
      </c>
      <c r="H42" s="124">
        <v>2</v>
      </c>
      <c r="I42" s="291">
        <f t="shared" si="3"/>
        <v>1.9049433279359939E-2</v>
      </c>
      <c r="J42" s="124" t="s">
        <v>49</v>
      </c>
      <c r="K42" s="291" t="str">
        <f t="shared" si="4"/>
        <v>-</v>
      </c>
      <c r="L42" s="124">
        <v>1</v>
      </c>
      <c r="M42" s="291">
        <f t="shared" si="5"/>
        <v>1.0592098294672173E-2</v>
      </c>
      <c r="N42" s="124">
        <v>4</v>
      </c>
      <c r="O42" s="291">
        <f t="shared" si="6"/>
        <v>3.9115978877371407E-2</v>
      </c>
      <c r="P42" s="124">
        <v>2</v>
      </c>
      <c r="Q42" s="291">
        <f t="shared" si="7"/>
        <v>2.0774903916069388E-2</v>
      </c>
      <c r="R42" s="124">
        <v>1</v>
      </c>
      <c r="S42" s="291">
        <f t="shared" si="10"/>
        <v>1.0466820180029307E-2</v>
      </c>
      <c r="T42" s="124">
        <v>2</v>
      </c>
      <c r="U42" s="291">
        <f t="shared" si="9"/>
        <v>1.8570102135561744E-2</v>
      </c>
    </row>
    <row r="43" spans="1:21" ht="18" customHeight="1">
      <c r="A43" s="24" t="s">
        <v>510</v>
      </c>
      <c r="B43" s="124">
        <v>1</v>
      </c>
      <c r="C43" s="291">
        <f t="shared" si="0"/>
        <v>9.1166013310237954E-3</v>
      </c>
      <c r="D43" s="124">
        <v>2</v>
      </c>
      <c r="E43" s="291">
        <f t="shared" si="1"/>
        <v>1.8178512997636793E-2</v>
      </c>
      <c r="F43" s="124">
        <v>4</v>
      </c>
      <c r="G43" s="291">
        <f t="shared" si="2"/>
        <v>4.0920716112531973E-2</v>
      </c>
      <c r="H43" s="124">
        <v>3</v>
      </c>
      <c r="I43" s="291">
        <f t="shared" si="3"/>
        <v>2.857414991903991E-2</v>
      </c>
      <c r="J43" s="124" t="s">
        <v>49</v>
      </c>
      <c r="K43" s="291" t="str">
        <f t="shared" si="4"/>
        <v>-</v>
      </c>
      <c r="L43" s="124">
        <v>4</v>
      </c>
      <c r="M43" s="291">
        <f t="shared" si="5"/>
        <v>4.2368393178688693E-2</v>
      </c>
      <c r="N43" s="124">
        <v>4</v>
      </c>
      <c r="O43" s="291">
        <f t="shared" si="6"/>
        <v>3.9115978877371407E-2</v>
      </c>
      <c r="P43" s="124">
        <v>2</v>
      </c>
      <c r="Q43" s="291">
        <f t="shared" si="7"/>
        <v>2.0774903916069388E-2</v>
      </c>
      <c r="R43" s="124">
        <v>1</v>
      </c>
      <c r="S43" s="291">
        <f t="shared" si="10"/>
        <v>1.0466820180029307E-2</v>
      </c>
      <c r="T43" s="124">
        <v>1</v>
      </c>
      <c r="U43" s="291">
        <f t="shared" si="9"/>
        <v>9.285051067780872E-3</v>
      </c>
    </row>
    <row r="44" spans="1:21" ht="18" customHeight="1">
      <c r="A44" s="24" t="s">
        <v>513</v>
      </c>
      <c r="B44" s="124" t="s">
        <v>49</v>
      </c>
      <c r="C44" s="291" t="str">
        <f t="shared" si="0"/>
        <v>-</v>
      </c>
      <c r="D44" s="124" t="s">
        <v>49</v>
      </c>
      <c r="E44" s="291" t="str">
        <f t="shared" si="1"/>
        <v>-</v>
      </c>
      <c r="F44" s="124">
        <v>3</v>
      </c>
      <c r="G44" s="291">
        <f t="shared" si="2"/>
        <v>3.0690537084398974E-2</v>
      </c>
      <c r="H44" s="124" t="s">
        <v>49</v>
      </c>
      <c r="I44" s="291" t="str">
        <f t="shared" si="3"/>
        <v>-</v>
      </c>
      <c r="J44" s="124">
        <v>3</v>
      </c>
      <c r="K44" s="291">
        <f t="shared" si="4"/>
        <v>3.3734397840998541E-2</v>
      </c>
      <c r="L44" s="124" t="s">
        <v>49</v>
      </c>
      <c r="M44" s="291" t="str">
        <f t="shared" si="5"/>
        <v>-</v>
      </c>
      <c r="N44" s="124">
        <v>1</v>
      </c>
      <c r="O44" s="291">
        <f t="shared" si="6"/>
        <v>9.7789947193428518E-3</v>
      </c>
      <c r="P44" s="124">
        <v>1</v>
      </c>
      <c r="Q44" s="291">
        <f t="shared" si="7"/>
        <v>1.0387451958034694E-2</v>
      </c>
      <c r="R44" s="124">
        <v>1</v>
      </c>
      <c r="S44" s="291">
        <f t="shared" si="10"/>
        <v>1.0466820180029307E-2</v>
      </c>
      <c r="T44" s="124">
        <v>1</v>
      </c>
      <c r="U44" s="291">
        <f t="shared" si="9"/>
        <v>9.285051067780872E-3</v>
      </c>
    </row>
    <row r="45" spans="1:21" ht="18" customHeight="1">
      <c r="A45" s="200" t="s">
        <v>520</v>
      </c>
      <c r="B45" s="124">
        <v>1</v>
      </c>
      <c r="C45" s="291">
        <f t="shared" si="0"/>
        <v>9.1166013310237954E-3</v>
      </c>
      <c r="D45" s="124">
        <v>1</v>
      </c>
      <c r="E45" s="291">
        <f t="shared" si="1"/>
        <v>9.0892564988183967E-3</v>
      </c>
      <c r="F45" s="124">
        <v>3</v>
      </c>
      <c r="G45" s="291">
        <f t="shared" si="2"/>
        <v>3.0690537084398974E-2</v>
      </c>
      <c r="H45" s="124" t="s">
        <v>49</v>
      </c>
      <c r="I45" s="291" t="str">
        <f t="shared" si="3"/>
        <v>-</v>
      </c>
      <c r="J45" s="124" t="s">
        <v>49</v>
      </c>
      <c r="K45" s="291" t="str">
        <f t="shared" si="4"/>
        <v>-</v>
      </c>
      <c r="L45" s="124">
        <v>5</v>
      </c>
      <c r="M45" s="291">
        <f t="shared" si="5"/>
        <v>5.2960491473360877E-2</v>
      </c>
      <c r="N45" s="124" t="s">
        <v>49</v>
      </c>
      <c r="O45" s="291" t="str">
        <f t="shared" si="6"/>
        <v>-</v>
      </c>
      <c r="P45" s="124" t="s">
        <v>49</v>
      </c>
      <c r="Q45" s="291" t="str">
        <f t="shared" si="7"/>
        <v>-</v>
      </c>
      <c r="R45" s="124" t="s">
        <v>49</v>
      </c>
      <c r="S45" s="291" t="str">
        <f t="shared" si="10"/>
        <v>-</v>
      </c>
      <c r="T45" s="124">
        <v>1</v>
      </c>
      <c r="U45" s="291">
        <f t="shared" si="9"/>
        <v>9.285051067780872E-3</v>
      </c>
    </row>
    <row r="46" spans="1:21" ht="18" customHeight="1">
      <c r="A46" s="24" t="s">
        <v>509</v>
      </c>
      <c r="B46" s="124">
        <v>2</v>
      </c>
      <c r="C46" s="291">
        <f t="shared" ref="C46:C51" si="11">IF(ISERROR(B46/B$4*100)=TRUE,"-",B46/B$4*100)</f>
        <v>1.8233202662047591E-2</v>
      </c>
      <c r="D46" s="124">
        <v>1</v>
      </c>
      <c r="E46" s="291">
        <f t="shared" ref="E46:E51" si="12">IF(ISERROR(D46/D$4*100)=TRUE,"-",D46/D$4*100)</f>
        <v>9.0892564988183967E-3</v>
      </c>
      <c r="F46" s="124">
        <v>2</v>
      </c>
      <c r="G46" s="291">
        <f t="shared" ref="G46:G51" si="13">IF(ISERROR(F46/F$4*100)=TRUE,"-",F46/F$4*100)</f>
        <v>2.0460358056265986E-2</v>
      </c>
      <c r="H46" s="124">
        <v>1</v>
      </c>
      <c r="I46" s="291">
        <f t="shared" ref="I46:I51" si="14">IF(ISERROR(H46/H$4*100)=TRUE,"-",H46/H$4*100)</f>
        <v>9.5247166396799695E-3</v>
      </c>
      <c r="J46" s="124" t="s">
        <v>49</v>
      </c>
      <c r="K46" s="291" t="str">
        <f t="shared" ref="K46:K51" si="15">IF(ISERROR(J46/J$4*100)=TRUE,"-",J46/J$4*100)</f>
        <v>-</v>
      </c>
      <c r="L46" s="124">
        <v>1</v>
      </c>
      <c r="M46" s="291">
        <f t="shared" ref="M46:M51" si="16">IF(ISERROR(L46/L$4*100)=TRUE,"-",L46/L$4*100)</f>
        <v>1.0592098294672173E-2</v>
      </c>
      <c r="N46" s="124">
        <v>3</v>
      </c>
      <c r="O46" s="291">
        <f t="shared" ref="O46:O51" si="17">IF(ISERROR(N46/N$4*100)=TRUE,"-",N46/N$4*100)</f>
        <v>2.9336984158028552E-2</v>
      </c>
      <c r="P46" s="124">
        <v>4</v>
      </c>
      <c r="Q46" s="291">
        <f t="shared" ref="Q46:Q51" si="18">IF(ISERROR(P46/P$4*100)=TRUE,"-",P46/P$4*100)</f>
        <v>4.1549807832138776E-2</v>
      </c>
      <c r="R46" s="124">
        <v>0</v>
      </c>
      <c r="S46" s="291" t="s">
        <v>220</v>
      </c>
      <c r="T46" s="124">
        <v>0</v>
      </c>
      <c r="U46" s="124">
        <v>0</v>
      </c>
    </row>
    <row r="47" spans="1:21" ht="18" customHeight="1">
      <c r="A47" s="24" t="s">
        <v>514</v>
      </c>
      <c r="B47" s="124" t="s">
        <v>49</v>
      </c>
      <c r="C47" s="291" t="str">
        <f t="shared" si="11"/>
        <v>-</v>
      </c>
      <c r="D47" s="124">
        <v>1</v>
      </c>
      <c r="E47" s="291">
        <f t="shared" si="12"/>
        <v>9.0892564988183967E-3</v>
      </c>
      <c r="F47" s="124">
        <v>1</v>
      </c>
      <c r="G47" s="291">
        <f t="shared" si="13"/>
        <v>1.0230179028132993E-2</v>
      </c>
      <c r="H47" s="124" t="s">
        <v>49</v>
      </c>
      <c r="I47" s="291" t="str">
        <f t="shared" si="14"/>
        <v>-</v>
      </c>
      <c r="J47" s="124" t="s">
        <v>49</v>
      </c>
      <c r="K47" s="291" t="str">
        <f t="shared" si="15"/>
        <v>-</v>
      </c>
      <c r="L47" s="124" t="s">
        <v>49</v>
      </c>
      <c r="M47" s="291" t="str">
        <f t="shared" si="16"/>
        <v>-</v>
      </c>
      <c r="N47" s="124">
        <v>1</v>
      </c>
      <c r="O47" s="291">
        <f t="shared" si="17"/>
        <v>9.7789947193428518E-3</v>
      </c>
      <c r="P47" s="124">
        <v>1</v>
      </c>
      <c r="Q47" s="291">
        <f t="shared" si="18"/>
        <v>1.0387451958034694E-2</v>
      </c>
      <c r="R47" s="124">
        <v>0</v>
      </c>
      <c r="S47" s="291" t="s">
        <v>220</v>
      </c>
      <c r="T47" s="124">
        <v>0</v>
      </c>
      <c r="U47" s="124">
        <v>0</v>
      </c>
    </row>
    <row r="48" spans="1:21" ht="18" customHeight="1">
      <c r="A48" s="24" t="s">
        <v>515</v>
      </c>
      <c r="B48" s="124" t="s">
        <v>49</v>
      </c>
      <c r="C48" s="291" t="str">
        <f t="shared" si="11"/>
        <v>-</v>
      </c>
      <c r="D48" s="124" t="s">
        <v>49</v>
      </c>
      <c r="E48" s="291" t="str">
        <f t="shared" si="12"/>
        <v>-</v>
      </c>
      <c r="F48" s="124">
        <v>3</v>
      </c>
      <c r="G48" s="291">
        <f t="shared" si="13"/>
        <v>3.0690537084398974E-2</v>
      </c>
      <c r="H48" s="124" t="s">
        <v>49</v>
      </c>
      <c r="I48" s="291" t="str">
        <f t="shared" si="14"/>
        <v>-</v>
      </c>
      <c r="J48" s="124">
        <v>1</v>
      </c>
      <c r="K48" s="291">
        <f t="shared" si="15"/>
        <v>1.1244799280332845E-2</v>
      </c>
      <c r="L48" s="124" t="s">
        <v>49</v>
      </c>
      <c r="M48" s="291" t="str">
        <f t="shared" si="16"/>
        <v>-</v>
      </c>
      <c r="N48" s="124">
        <v>3</v>
      </c>
      <c r="O48" s="291">
        <f t="shared" si="17"/>
        <v>2.9336984158028552E-2</v>
      </c>
      <c r="P48" s="124">
        <v>1</v>
      </c>
      <c r="Q48" s="291">
        <f t="shared" si="18"/>
        <v>1.0387451958034694E-2</v>
      </c>
      <c r="R48" s="124">
        <v>0</v>
      </c>
      <c r="S48" s="291" t="s">
        <v>220</v>
      </c>
      <c r="T48" s="124">
        <v>0</v>
      </c>
      <c r="U48" s="124">
        <v>0</v>
      </c>
    </row>
    <row r="49" spans="1:21" ht="18" customHeight="1">
      <c r="A49" s="200" t="s">
        <v>653</v>
      </c>
      <c r="B49" s="124" t="s">
        <v>49</v>
      </c>
      <c r="C49" s="291" t="str">
        <f t="shared" si="11"/>
        <v>-</v>
      </c>
      <c r="D49" s="124" t="s">
        <v>49</v>
      </c>
      <c r="E49" s="291" t="str">
        <f t="shared" si="12"/>
        <v>-</v>
      </c>
      <c r="F49" s="124" t="s">
        <v>49</v>
      </c>
      <c r="G49" s="291" t="str">
        <f t="shared" si="13"/>
        <v>-</v>
      </c>
      <c r="H49" s="124">
        <v>3</v>
      </c>
      <c r="I49" s="291">
        <f t="shared" si="14"/>
        <v>2.857414991903991E-2</v>
      </c>
      <c r="J49" s="124" t="s">
        <v>49</v>
      </c>
      <c r="K49" s="291" t="str">
        <f t="shared" si="15"/>
        <v>-</v>
      </c>
      <c r="L49" s="124" t="s">
        <v>49</v>
      </c>
      <c r="M49" s="291" t="str">
        <f t="shared" si="16"/>
        <v>-</v>
      </c>
      <c r="N49" s="124" t="s">
        <v>49</v>
      </c>
      <c r="O49" s="291" t="str">
        <f t="shared" si="17"/>
        <v>-</v>
      </c>
      <c r="P49" s="124" t="s">
        <v>49</v>
      </c>
      <c r="Q49" s="291" t="str">
        <f t="shared" si="18"/>
        <v>-</v>
      </c>
      <c r="R49" s="124" t="s">
        <v>49</v>
      </c>
      <c r="S49" s="291" t="str">
        <f>IF(ISERROR(R49/R$4*100)=TRUE,"-",R49/R$4*100)</f>
        <v>-</v>
      </c>
      <c r="T49" s="124">
        <v>0</v>
      </c>
      <c r="U49" s="124">
        <v>0</v>
      </c>
    </row>
    <row r="50" spans="1:21" ht="18" customHeight="1">
      <c r="A50" s="200" t="s">
        <v>519</v>
      </c>
      <c r="B50" s="124">
        <v>1</v>
      </c>
      <c r="C50" s="291">
        <f t="shared" si="11"/>
        <v>9.1166013310237954E-3</v>
      </c>
      <c r="D50" s="124">
        <v>1</v>
      </c>
      <c r="E50" s="291">
        <f t="shared" si="12"/>
        <v>9.0892564988183967E-3</v>
      </c>
      <c r="F50" s="124">
        <v>1</v>
      </c>
      <c r="G50" s="291">
        <f t="shared" si="13"/>
        <v>1.0230179028132993E-2</v>
      </c>
      <c r="H50" s="124" t="s">
        <v>49</v>
      </c>
      <c r="I50" s="291" t="str">
        <f t="shared" si="14"/>
        <v>-</v>
      </c>
      <c r="J50" s="124">
        <v>1</v>
      </c>
      <c r="K50" s="291">
        <f t="shared" si="15"/>
        <v>1.1244799280332845E-2</v>
      </c>
      <c r="L50" s="124">
        <v>1</v>
      </c>
      <c r="M50" s="291">
        <f t="shared" si="16"/>
        <v>1.0592098294672173E-2</v>
      </c>
      <c r="N50" s="124" t="s">
        <v>49</v>
      </c>
      <c r="O50" s="291" t="str">
        <f t="shared" si="17"/>
        <v>-</v>
      </c>
      <c r="P50" s="124" t="s">
        <v>49</v>
      </c>
      <c r="Q50" s="291" t="str">
        <f t="shared" si="18"/>
        <v>-</v>
      </c>
      <c r="R50" s="124" t="s">
        <v>49</v>
      </c>
      <c r="S50" s="291" t="str">
        <f>IF(ISERROR(R50/R$4*100)=TRUE,"-",R50/R$4*100)</f>
        <v>-</v>
      </c>
      <c r="T50" s="124">
        <v>0</v>
      </c>
      <c r="U50" s="124">
        <v>0</v>
      </c>
    </row>
    <row r="51" spans="1:21" ht="18" customHeight="1">
      <c r="A51" s="201" t="s">
        <v>362</v>
      </c>
      <c r="B51" s="293">
        <v>924</v>
      </c>
      <c r="C51" s="294">
        <f t="shared" si="11"/>
        <v>8.4237396298659846</v>
      </c>
      <c r="D51" s="293">
        <v>1009</v>
      </c>
      <c r="E51" s="294">
        <f t="shared" si="12"/>
        <v>9.1710598073077616</v>
      </c>
      <c r="F51" s="293">
        <v>702</v>
      </c>
      <c r="G51" s="294">
        <f t="shared" si="13"/>
        <v>7.1815856777493607</v>
      </c>
      <c r="H51" s="293">
        <v>853</v>
      </c>
      <c r="I51" s="294">
        <f t="shared" si="14"/>
        <v>8.1245832936470137</v>
      </c>
      <c r="J51" s="293">
        <v>559</v>
      </c>
      <c r="K51" s="294">
        <f t="shared" si="15"/>
        <v>6.2858427977060609</v>
      </c>
      <c r="L51" s="293">
        <v>687</v>
      </c>
      <c r="M51" s="294">
        <f t="shared" si="16"/>
        <v>7.2767715284397836</v>
      </c>
      <c r="N51" s="293">
        <v>829</v>
      </c>
      <c r="O51" s="294">
        <f t="shared" si="17"/>
        <v>8.1067866223352247</v>
      </c>
      <c r="P51" s="293">
        <v>692</v>
      </c>
      <c r="Q51" s="294">
        <f t="shared" si="18"/>
        <v>7.1881167549600082</v>
      </c>
      <c r="R51" s="293">
        <v>876</v>
      </c>
      <c r="S51" s="294">
        <f>IF(ISERROR(R51/R$4*100)=TRUE,"-",R51/R$4*100)</f>
        <v>9.1689344777056725</v>
      </c>
      <c r="T51" s="293">
        <v>1316</v>
      </c>
      <c r="U51" s="294">
        <f t="shared" ref="U51" si="19">IF(ISERROR(T51/T$4*100)=TRUE,"-",T51/T$4*100)</f>
        <v>12.219127205199628</v>
      </c>
    </row>
    <row r="52" spans="1:21">
      <c r="A52" s="396" t="s">
        <v>654</v>
      </c>
      <c r="B52" s="396"/>
      <c r="C52" s="396"/>
      <c r="D52" s="396"/>
      <c r="E52" s="396"/>
      <c r="F52" s="396"/>
      <c r="G52" s="396"/>
      <c r="H52" s="396"/>
      <c r="I52" s="396"/>
      <c r="J52" s="396"/>
      <c r="K52" s="396"/>
      <c r="L52" s="396"/>
      <c r="M52" s="396"/>
      <c r="N52" s="396"/>
      <c r="O52" s="396"/>
      <c r="P52" s="396"/>
      <c r="Q52" s="396"/>
      <c r="R52" s="396"/>
      <c r="S52" s="396"/>
      <c r="T52" s="396"/>
      <c r="U52" s="396"/>
    </row>
    <row r="53" spans="1:21">
      <c r="A53" s="397" t="s">
        <v>698</v>
      </c>
      <c r="B53" s="397"/>
      <c r="C53" s="397"/>
      <c r="D53" s="397"/>
      <c r="E53" s="397"/>
      <c r="F53" s="397"/>
      <c r="G53" s="397"/>
      <c r="H53" s="397"/>
      <c r="I53" s="397"/>
      <c r="J53" s="397"/>
      <c r="K53" s="397"/>
      <c r="L53" s="397"/>
      <c r="M53" s="397"/>
      <c r="N53" s="397"/>
      <c r="O53" s="397"/>
      <c r="P53" s="397"/>
      <c r="Q53" s="397"/>
      <c r="R53" s="397"/>
      <c r="S53" s="397"/>
      <c r="T53" s="397"/>
      <c r="U53" s="397"/>
    </row>
    <row r="56" spans="1:21">
      <c r="B56" s="32">
        <f>RANK(B5,B$5:B$50)</f>
        <v>6</v>
      </c>
      <c r="C56" s="32">
        <f t="shared" ref="C56:T56" si="20">RANK(C5,C$5:C$50)</f>
        <v>6</v>
      </c>
      <c r="D56" s="32">
        <f t="shared" si="20"/>
        <v>4</v>
      </c>
      <c r="E56" s="32">
        <f t="shared" si="20"/>
        <v>4</v>
      </c>
      <c r="F56" s="32">
        <f t="shared" si="20"/>
        <v>4</v>
      </c>
      <c r="G56" s="32">
        <f t="shared" si="20"/>
        <v>4</v>
      </c>
      <c r="H56" s="32">
        <f t="shared" si="20"/>
        <v>3</v>
      </c>
      <c r="I56" s="32">
        <f t="shared" si="20"/>
        <v>3</v>
      </c>
      <c r="J56" s="32">
        <f t="shared" si="20"/>
        <v>2</v>
      </c>
      <c r="K56" s="32">
        <f t="shared" si="20"/>
        <v>2</v>
      </c>
      <c r="L56" s="32">
        <f t="shared" si="20"/>
        <v>2</v>
      </c>
      <c r="M56" s="32">
        <f t="shared" si="20"/>
        <v>2</v>
      </c>
      <c r="N56" s="32">
        <f t="shared" si="20"/>
        <v>1</v>
      </c>
      <c r="O56" s="32">
        <f t="shared" si="20"/>
        <v>1</v>
      </c>
      <c r="P56" s="32">
        <f t="shared" si="20"/>
        <v>1</v>
      </c>
      <c r="Q56" s="32">
        <f t="shared" si="20"/>
        <v>1</v>
      </c>
      <c r="R56" s="32">
        <f t="shared" si="20"/>
        <v>1</v>
      </c>
      <c r="S56" s="32">
        <f t="shared" si="20"/>
        <v>1</v>
      </c>
      <c r="T56" s="32">
        <f t="shared" si="20"/>
        <v>1</v>
      </c>
    </row>
    <row r="57" spans="1:21">
      <c r="B57" s="32">
        <f t="shared" ref="B57:T57" si="21">RANK(B6,B$5:B$50)</f>
        <v>1</v>
      </c>
      <c r="C57" s="32">
        <f t="shared" si="21"/>
        <v>1</v>
      </c>
      <c r="D57" s="32">
        <f t="shared" si="21"/>
        <v>1</v>
      </c>
      <c r="E57" s="32">
        <f t="shared" si="21"/>
        <v>1</v>
      </c>
      <c r="F57" s="32">
        <f t="shared" si="21"/>
        <v>1</v>
      </c>
      <c r="G57" s="32">
        <f t="shared" si="21"/>
        <v>1</v>
      </c>
      <c r="H57" s="32">
        <f t="shared" si="21"/>
        <v>1</v>
      </c>
      <c r="I57" s="32">
        <f t="shared" si="21"/>
        <v>1</v>
      </c>
      <c r="J57" s="32">
        <f t="shared" si="21"/>
        <v>1</v>
      </c>
      <c r="K57" s="32">
        <f t="shared" si="21"/>
        <v>1</v>
      </c>
      <c r="L57" s="32">
        <f t="shared" si="21"/>
        <v>1</v>
      </c>
      <c r="M57" s="32">
        <f t="shared" si="21"/>
        <v>1</v>
      </c>
      <c r="N57" s="32">
        <f t="shared" si="21"/>
        <v>2</v>
      </c>
      <c r="O57" s="32">
        <f t="shared" si="21"/>
        <v>2</v>
      </c>
      <c r="P57" s="32">
        <f t="shared" si="21"/>
        <v>3</v>
      </c>
      <c r="Q57" s="32">
        <f t="shared" si="21"/>
        <v>3</v>
      </c>
      <c r="R57" s="32">
        <f t="shared" si="21"/>
        <v>2</v>
      </c>
      <c r="S57" s="32">
        <f t="shared" si="21"/>
        <v>2</v>
      </c>
      <c r="T57" s="32">
        <f t="shared" si="21"/>
        <v>2</v>
      </c>
    </row>
    <row r="58" spans="1:21">
      <c r="B58" s="32">
        <f t="shared" ref="B58:T58" si="22">RANK(B7,B$5:B$50)</f>
        <v>5</v>
      </c>
      <c r="C58" s="32">
        <f t="shared" si="22"/>
        <v>5</v>
      </c>
      <c r="D58" s="32">
        <f t="shared" si="22"/>
        <v>6</v>
      </c>
      <c r="E58" s="32">
        <f t="shared" si="22"/>
        <v>6</v>
      </c>
      <c r="F58" s="32">
        <f t="shared" si="22"/>
        <v>5</v>
      </c>
      <c r="G58" s="32">
        <f t="shared" si="22"/>
        <v>5</v>
      </c>
      <c r="H58" s="32">
        <f t="shared" si="22"/>
        <v>6</v>
      </c>
      <c r="I58" s="32">
        <f t="shared" si="22"/>
        <v>6</v>
      </c>
      <c r="J58" s="32">
        <f t="shared" si="22"/>
        <v>5</v>
      </c>
      <c r="K58" s="32">
        <f t="shared" si="22"/>
        <v>5</v>
      </c>
      <c r="L58" s="32">
        <f t="shared" si="22"/>
        <v>5</v>
      </c>
      <c r="M58" s="32">
        <f t="shared" si="22"/>
        <v>5</v>
      </c>
      <c r="N58" s="32">
        <f t="shared" si="22"/>
        <v>6</v>
      </c>
      <c r="O58" s="32">
        <f t="shared" si="22"/>
        <v>6</v>
      </c>
      <c r="P58" s="32">
        <f t="shared" si="22"/>
        <v>5</v>
      </c>
      <c r="Q58" s="32">
        <f t="shared" si="22"/>
        <v>5</v>
      </c>
      <c r="R58" s="32">
        <f t="shared" si="22"/>
        <v>5</v>
      </c>
      <c r="S58" s="32">
        <f t="shared" si="22"/>
        <v>5</v>
      </c>
      <c r="T58" s="32">
        <f t="shared" si="22"/>
        <v>3</v>
      </c>
    </row>
    <row r="59" spans="1:21">
      <c r="B59" s="32">
        <f t="shared" ref="B59:T59" si="23">RANK(B8,B$5:B$50)</f>
        <v>2</v>
      </c>
      <c r="C59" s="32">
        <f t="shared" si="23"/>
        <v>2</v>
      </c>
      <c r="D59" s="32">
        <f t="shared" si="23"/>
        <v>3</v>
      </c>
      <c r="E59" s="32">
        <f t="shared" si="23"/>
        <v>3</v>
      </c>
      <c r="F59" s="32">
        <f t="shared" si="23"/>
        <v>3</v>
      </c>
      <c r="G59" s="32">
        <f t="shared" si="23"/>
        <v>3</v>
      </c>
      <c r="H59" s="32">
        <f t="shared" si="23"/>
        <v>4</v>
      </c>
      <c r="I59" s="32">
        <f t="shared" si="23"/>
        <v>4</v>
      </c>
      <c r="J59" s="32">
        <f t="shared" si="23"/>
        <v>3</v>
      </c>
      <c r="K59" s="32">
        <f t="shared" si="23"/>
        <v>3</v>
      </c>
      <c r="L59" s="32">
        <f t="shared" si="23"/>
        <v>3</v>
      </c>
      <c r="M59" s="32">
        <f t="shared" si="23"/>
        <v>3</v>
      </c>
      <c r="N59" s="32">
        <f t="shared" si="23"/>
        <v>5</v>
      </c>
      <c r="O59" s="32">
        <f t="shared" si="23"/>
        <v>5</v>
      </c>
      <c r="P59" s="32">
        <f t="shared" si="23"/>
        <v>4</v>
      </c>
      <c r="Q59" s="32">
        <f t="shared" si="23"/>
        <v>4</v>
      </c>
      <c r="R59" s="32">
        <f t="shared" si="23"/>
        <v>4</v>
      </c>
      <c r="S59" s="32">
        <f t="shared" si="23"/>
        <v>4</v>
      </c>
      <c r="T59" s="32">
        <f t="shared" si="23"/>
        <v>4</v>
      </c>
    </row>
    <row r="60" spans="1:21">
      <c r="B60" s="32">
        <f t="shared" ref="B60:T60" si="24">RANK(B9,B$5:B$50)</f>
        <v>26</v>
      </c>
      <c r="C60" s="32">
        <f t="shared" si="24"/>
        <v>26</v>
      </c>
      <c r="D60" s="32">
        <f t="shared" si="24"/>
        <v>28</v>
      </c>
      <c r="E60" s="32">
        <f t="shared" si="24"/>
        <v>28</v>
      </c>
      <c r="F60" s="32">
        <f t="shared" si="24"/>
        <v>25</v>
      </c>
      <c r="G60" s="32">
        <f t="shared" si="24"/>
        <v>25</v>
      </c>
      <c r="H60" s="32">
        <f t="shared" si="24"/>
        <v>12</v>
      </c>
      <c r="I60" s="32">
        <f t="shared" si="24"/>
        <v>12</v>
      </c>
      <c r="J60" s="32">
        <f t="shared" si="24"/>
        <v>11</v>
      </c>
      <c r="K60" s="32">
        <f t="shared" si="24"/>
        <v>11</v>
      </c>
      <c r="L60" s="32">
        <f t="shared" si="24"/>
        <v>11</v>
      </c>
      <c r="M60" s="32">
        <f t="shared" si="24"/>
        <v>11</v>
      </c>
      <c r="N60" s="32">
        <f t="shared" si="24"/>
        <v>3</v>
      </c>
      <c r="O60" s="32">
        <f t="shared" si="24"/>
        <v>3</v>
      </c>
      <c r="P60" s="32">
        <f t="shared" si="24"/>
        <v>2</v>
      </c>
      <c r="Q60" s="32">
        <f t="shared" si="24"/>
        <v>2</v>
      </c>
      <c r="R60" s="32">
        <f t="shared" si="24"/>
        <v>3</v>
      </c>
      <c r="S60" s="32">
        <f t="shared" si="24"/>
        <v>3</v>
      </c>
      <c r="T60" s="32">
        <f t="shared" si="24"/>
        <v>5</v>
      </c>
    </row>
    <row r="61" spans="1:21">
      <c r="B61" s="32">
        <f t="shared" ref="B61:T61" si="25">RANK(B10,B$5:B$50)</f>
        <v>8</v>
      </c>
      <c r="C61" s="32">
        <f t="shared" si="25"/>
        <v>8</v>
      </c>
      <c r="D61" s="32">
        <f t="shared" si="25"/>
        <v>8</v>
      </c>
      <c r="E61" s="32">
        <f t="shared" si="25"/>
        <v>8</v>
      </c>
      <c r="F61" s="32">
        <f t="shared" si="25"/>
        <v>8</v>
      </c>
      <c r="G61" s="32">
        <f t="shared" si="25"/>
        <v>8</v>
      </c>
      <c r="H61" s="32">
        <f t="shared" si="25"/>
        <v>7</v>
      </c>
      <c r="I61" s="32">
        <f t="shared" si="25"/>
        <v>7</v>
      </c>
      <c r="J61" s="32">
        <f t="shared" si="25"/>
        <v>7</v>
      </c>
      <c r="K61" s="32">
        <f t="shared" si="25"/>
        <v>7</v>
      </c>
      <c r="L61" s="32">
        <f t="shared" si="25"/>
        <v>7</v>
      </c>
      <c r="M61" s="32">
        <f t="shared" si="25"/>
        <v>7</v>
      </c>
      <c r="N61" s="32">
        <f t="shared" si="25"/>
        <v>8</v>
      </c>
      <c r="O61" s="32">
        <f t="shared" si="25"/>
        <v>8</v>
      </c>
      <c r="P61" s="32">
        <f t="shared" si="25"/>
        <v>7</v>
      </c>
      <c r="Q61" s="32">
        <f t="shared" si="25"/>
        <v>7</v>
      </c>
      <c r="R61" s="32">
        <f t="shared" si="25"/>
        <v>6</v>
      </c>
      <c r="S61" s="32">
        <f t="shared" si="25"/>
        <v>6</v>
      </c>
      <c r="T61" s="32">
        <f t="shared" si="25"/>
        <v>6</v>
      </c>
    </row>
    <row r="62" spans="1:21">
      <c r="B62" s="32">
        <f t="shared" ref="B62:T62" si="26">RANK(B11,B$5:B$50)</f>
        <v>3</v>
      </c>
      <c r="C62" s="32">
        <f t="shared" si="26"/>
        <v>3</v>
      </c>
      <c r="D62" s="32">
        <f t="shared" si="26"/>
        <v>2</v>
      </c>
      <c r="E62" s="32">
        <f t="shared" si="26"/>
        <v>2</v>
      </c>
      <c r="F62" s="32">
        <f t="shared" si="26"/>
        <v>2</v>
      </c>
      <c r="G62" s="32">
        <f t="shared" si="26"/>
        <v>2</v>
      </c>
      <c r="H62" s="32">
        <f t="shared" si="26"/>
        <v>2</v>
      </c>
      <c r="I62" s="32">
        <f t="shared" si="26"/>
        <v>2</v>
      </c>
      <c r="J62" s="32">
        <f t="shared" si="26"/>
        <v>4</v>
      </c>
      <c r="K62" s="32">
        <f t="shared" si="26"/>
        <v>4</v>
      </c>
      <c r="L62" s="32">
        <f t="shared" si="26"/>
        <v>4</v>
      </c>
      <c r="M62" s="32">
        <f t="shared" si="26"/>
        <v>4</v>
      </c>
      <c r="N62" s="32">
        <f t="shared" si="26"/>
        <v>4</v>
      </c>
      <c r="O62" s="32">
        <f t="shared" si="26"/>
        <v>4</v>
      </c>
      <c r="P62" s="32">
        <f t="shared" si="26"/>
        <v>6</v>
      </c>
      <c r="Q62" s="32">
        <f t="shared" si="26"/>
        <v>6</v>
      </c>
      <c r="R62" s="32">
        <f t="shared" si="26"/>
        <v>7</v>
      </c>
      <c r="S62" s="32">
        <f t="shared" si="26"/>
        <v>7</v>
      </c>
      <c r="T62" s="32">
        <f t="shared" si="26"/>
        <v>7</v>
      </c>
    </row>
    <row r="63" spans="1:21">
      <c r="B63" s="32">
        <f t="shared" ref="B63:T63" si="27">RANK(B12,B$5:B$50)</f>
        <v>7</v>
      </c>
      <c r="C63" s="32">
        <f t="shared" si="27"/>
        <v>7</v>
      </c>
      <c r="D63" s="32">
        <f t="shared" si="27"/>
        <v>7</v>
      </c>
      <c r="E63" s="32">
        <f t="shared" si="27"/>
        <v>7</v>
      </c>
      <c r="F63" s="32">
        <f t="shared" si="27"/>
        <v>7</v>
      </c>
      <c r="G63" s="32">
        <f t="shared" si="27"/>
        <v>7</v>
      </c>
      <c r="H63" s="32">
        <f t="shared" si="27"/>
        <v>9</v>
      </c>
      <c r="I63" s="32">
        <f t="shared" si="27"/>
        <v>9</v>
      </c>
      <c r="J63" s="32">
        <f t="shared" si="27"/>
        <v>8</v>
      </c>
      <c r="K63" s="32">
        <f t="shared" si="27"/>
        <v>8</v>
      </c>
      <c r="L63" s="32">
        <f t="shared" si="27"/>
        <v>8</v>
      </c>
      <c r="M63" s="32">
        <f t="shared" si="27"/>
        <v>8</v>
      </c>
      <c r="N63" s="32">
        <f t="shared" si="27"/>
        <v>9</v>
      </c>
      <c r="O63" s="32">
        <f t="shared" si="27"/>
        <v>9</v>
      </c>
      <c r="P63" s="32">
        <f t="shared" si="27"/>
        <v>9</v>
      </c>
      <c r="Q63" s="32">
        <f t="shared" si="27"/>
        <v>9</v>
      </c>
      <c r="R63" s="32">
        <f t="shared" si="27"/>
        <v>9</v>
      </c>
      <c r="S63" s="32">
        <f t="shared" si="27"/>
        <v>9</v>
      </c>
      <c r="T63" s="32">
        <f t="shared" si="27"/>
        <v>8</v>
      </c>
    </row>
    <row r="64" spans="1:21">
      <c r="B64" s="32">
        <f t="shared" ref="B64:T64" si="28">RANK(B13,B$5:B$50)</f>
        <v>4</v>
      </c>
      <c r="C64" s="32">
        <f t="shared" si="28"/>
        <v>4</v>
      </c>
      <c r="D64" s="32">
        <f t="shared" si="28"/>
        <v>5</v>
      </c>
      <c r="E64" s="32">
        <f t="shared" si="28"/>
        <v>5</v>
      </c>
      <c r="F64" s="32">
        <f t="shared" si="28"/>
        <v>6</v>
      </c>
      <c r="G64" s="32">
        <f t="shared" si="28"/>
        <v>6</v>
      </c>
      <c r="H64" s="32">
        <f t="shared" si="28"/>
        <v>5</v>
      </c>
      <c r="I64" s="32">
        <f t="shared" si="28"/>
        <v>5</v>
      </c>
      <c r="J64" s="32">
        <f t="shared" si="28"/>
        <v>6</v>
      </c>
      <c r="K64" s="32">
        <f t="shared" si="28"/>
        <v>6</v>
      </c>
      <c r="L64" s="32">
        <f t="shared" si="28"/>
        <v>6</v>
      </c>
      <c r="M64" s="32">
        <f t="shared" si="28"/>
        <v>6</v>
      </c>
      <c r="N64" s="32">
        <f t="shared" si="28"/>
        <v>7</v>
      </c>
      <c r="O64" s="32">
        <f t="shared" si="28"/>
        <v>7</v>
      </c>
      <c r="P64" s="32">
        <f t="shared" si="28"/>
        <v>8</v>
      </c>
      <c r="Q64" s="32">
        <f t="shared" si="28"/>
        <v>8</v>
      </c>
      <c r="R64" s="32">
        <f t="shared" si="28"/>
        <v>8</v>
      </c>
      <c r="S64" s="32">
        <f t="shared" si="28"/>
        <v>8</v>
      </c>
      <c r="T64" s="32">
        <f t="shared" si="28"/>
        <v>9</v>
      </c>
    </row>
    <row r="65" spans="2:20">
      <c r="B65" s="32">
        <f t="shared" ref="B65:T65" si="29">RANK(B14,B$5:B$50)</f>
        <v>11</v>
      </c>
      <c r="C65" s="32">
        <f t="shared" si="29"/>
        <v>11</v>
      </c>
      <c r="D65" s="32">
        <f t="shared" si="29"/>
        <v>11</v>
      </c>
      <c r="E65" s="32">
        <f t="shared" si="29"/>
        <v>11</v>
      </c>
      <c r="F65" s="32">
        <f t="shared" si="29"/>
        <v>9</v>
      </c>
      <c r="G65" s="32">
        <f t="shared" si="29"/>
        <v>9</v>
      </c>
      <c r="H65" s="32">
        <f t="shared" si="29"/>
        <v>8</v>
      </c>
      <c r="I65" s="32">
        <f t="shared" si="29"/>
        <v>8</v>
      </c>
      <c r="J65" s="32">
        <f t="shared" si="29"/>
        <v>10</v>
      </c>
      <c r="K65" s="32">
        <f t="shared" si="29"/>
        <v>10</v>
      </c>
      <c r="L65" s="32">
        <f t="shared" si="29"/>
        <v>10</v>
      </c>
      <c r="M65" s="32">
        <f t="shared" si="29"/>
        <v>10</v>
      </c>
      <c r="N65" s="32">
        <f t="shared" si="29"/>
        <v>10</v>
      </c>
      <c r="O65" s="32">
        <f t="shared" si="29"/>
        <v>10</v>
      </c>
      <c r="P65" s="32">
        <f t="shared" si="29"/>
        <v>11</v>
      </c>
      <c r="Q65" s="32">
        <f t="shared" si="29"/>
        <v>11</v>
      </c>
      <c r="R65" s="32">
        <f t="shared" si="29"/>
        <v>11</v>
      </c>
      <c r="S65" s="32">
        <f t="shared" si="29"/>
        <v>11</v>
      </c>
      <c r="T65" s="32">
        <f t="shared" si="29"/>
        <v>10</v>
      </c>
    </row>
    <row r="66" spans="2:20">
      <c r="B66" s="32">
        <f t="shared" ref="B66:T66" si="30">RANK(B15,B$5:B$50)</f>
        <v>10</v>
      </c>
      <c r="C66" s="32">
        <f t="shared" si="30"/>
        <v>10</v>
      </c>
      <c r="D66" s="32">
        <f t="shared" si="30"/>
        <v>12</v>
      </c>
      <c r="E66" s="32">
        <f t="shared" si="30"/>
        <v>12</v>
      </c>
      <c r="F66" s="32">
        <f t="shared" si="30"/>
        <v>10</v>
      </c>
      <c r="G66" s="32">
        <f t="shared" si="30"/>
        <v>10</v>
      </c>
      <c r="H66" s="32">
        <f t="shared" si="30"/>
        <v>11</v>
      </c>
      <c r="I66" s="32">
        <f t="shared" si="30"/>
        <v>11</v>
      </c>
      <c r="J66" s="32">
        <f t="shared" si="30"/>
        <v>9</v>
      </c>
      <c r="K66" s="32">
        <f t="shared" si="30"/>
        <v>9</v>
      </c>
      <c r="L66" s="32">
        <f t="shared" si="30"/>
        <v>9</v>
      </c>
      <c r="M66" s="32">
        <f t="shared" si="30"/>
        <v>9</v>
      </c>
      <c r="N66" s="32">
        <f t="shared" si="30"/>
        <v>11</v>
      </c>
      <c r="O66" s="32">
        <f t="shared" si="30"/>
        <v>11</v>
      </c>
      <c r="P66" s="32">
        <f t="shared" si="30"/>
        <v>12</v>
      </c>
      <c r="Q66" s="32">
        <f t="shared" si="30"/>
        <v>12</v>
      </c>
      <c r="R66" s="32">
        <f t="shared" si="30"/>
        <v>12</v>
      </c>
      <c r="S66" s="32">
        <f t="shared" si="30"/>
        <v>12</v>
      </c>
      <c r="T66" s="32">
        <f t="shared" si="30"/>
        <v>11</v>
      </c>
    </row>
    <row r="67" spans="2:20">
      <c r="B67" s="32">
        <f t="shared" ref="B67:T67" si="31">RANK(B16,B$5:B$50)</f>
        <v>16</v>
      </c>
      <c r="C67" s="32">
        <f t="shared" si="31"/>
        <v>16</v>
      </c>
      <c r="D67" s="32">
        <f t="shared" si="31"/>
        <v>14</v>
      </c>
      <c r="E67" s="32">
        <f t="shared" si="31"/>
        <v>14</v>
      </c>
      <c r="F67" s="32">
        <f t="shared" si="31"/>
        <v>15</v>
      </c>
      <c r="G67" s="32">
        <f t="shared" si="31"/>
        <v>15</v>
      </c>
      <c r="H67" s="32">
        <f t="shared" si="31"/>
        <v>16</v>
      </c>
      <c r="I67" s="32">
        <f t="shared" si="31"/>
        <v>16</v>
      </c>
      <c r="J67" s="32">
        <f t="shared" si="31"/>
        <v>12</v>
      </c>
      <c r="K67" s="32">
        <f t="shared" si="31"/>
        <v>12</v>
      </c>
      <c r="L67" s="32">
        <f t="shared" si="31"/>
        <v>12</v>
      </c>
      <c r="M67" s="32">
        <f t="shared" si="31"/>
        <v>12</v>
      </c>
      <c r="N67" s="32">
        <f t="shared" si="31"/>
        <v>13</v>
      </c>
      <c r="O67" s="32">
        <f t="shared" si="31"/>
        <v>13</v>
      </c>
      <c r="P67" s="32">
        <f t="shared" si="31"/>
        <v>13</v>
      </c>
      <c r="Q67" s="32">
        <f t="shared" si="31"/>
        <v>13</v>
      </c>
      <c r="R67" s="32">
        <f t="shared" si="31"/>
        <v>13</v>
      </c>
      <c r="S67" s="32">
        <f t="shared" si="31"/>
        <v>13</v>
      </c>
      <c r="T67" s="32">
        <f t="shared" si="31"/>
        <v>12</v>
      </c>
    </row>
    <row r="68" spans="2:20">
      <c r="B68" s="32">
        <f t="shared" ref="B68:T68" si="32">RANK(B17,B$5:B$50)</f>
        <v>13</v>
      </c>
      <c r="C68" s="32">
        <f t="shared" si="32"/>
        <v>13</v>
      </c>
      <c r="D68" s="32">
        <f t="shared" si="32"/>
        <v>9</v>
      </c>
      <c r="E68" s="32">
        <f t="shared" si="32"/>
        <v>9</v>
      </c>
      <c r="F68" s="32">
        <f t="shared" si="32"/>
        <v>12</v>
      </c>
      <c r="G68" s="32">
        <f t="shared" si="32"/>
        <v>12</v>
      </c>
      <c r="H68" s="32">
        <f t="shared" si="32"/>
        <v>10</v>
      </c>
      <c r="I68" s="32">
        <f t="shared" si="32"/>
        <v>10</v>
      </c>
      <c r="J68" s="32">
        <f t="shared" si="32"/>
        <v>13</v>
      </c>
      <c r="K68" s="32">
        <f t="shared" si="32"/>
        <v>13</v>
      </c>
      <c r="L68" s="32">
        <f t="shared" si="32"/>
        <v>14</v>
      </c>
      <c r="M68" s="32">
        <f t="shared" si="32"/>
        <v>14</v>
      </c>
      <c r="N68" s="32">
        <f t="shared" si="32"/>
        <v>12</v>
      </c>
      <c r="O68" s="32">
        <f t="shared" si="32"/>
        <v>12</v>
      </c>
      <c r="P68" s="32">
        <f t="shared" si="32"/>
        <v>10</v>
      </c>
      <c r="Q68" s="32">
        <f t="shared" si="32"/>
        <v>10</v>
      </c>
      <c r="R68" s="32">
        <f t="shared" si="32"/>
        <v>10</v>
      </c>
      <c r="S68" s="32">
        <f t="shared" si="32"/>
        <v>10</v>
      </c>
      <c r="T68" s="32">
        <f t="shared" si="32"/>
        <v>13</v>
      </c>
    </row>
    <row r="69" spans="2:20">
      <c r="B69" s="32">
        <f t="shared" ref="B69:T69" si="33">RANK(B18,B$5:B$50)</f>
        <v>22</v>
      </c>
      <c r="C69" s="32">
        <f t="shared" si="33"/>
        <v>22</v>
      </c>
      <c r="D69" s="32">
        <f t="shared" si="33"/>
        <v>24</v>
      </c>
      <c r="E69" s="32">
        <f t="shared" si="33"/>
        <v>24</v>
      </c>
      <c r="F69" s="32">
        <f t="shared" si="33"/>
        <v>19</v>
      </c>
      <c r="G69" s="32">
        <f t="shared" si="33"/>
        <v>19</v>
      </c>
      <c r="H69" s="32">
        <f t="shared" si="33"/>
        <v>18</v>
      </c>
      <c r="I69" s="32">
        <f t="shared" si="33"/>
        <v>18</v>
      </c>
      <c r="J69" s="32">
        <f t="shared" si="33"/>
        <v>17</v>
      </c>
      <c r="K69" s="32">
        <f t="shared" si="33"/>
        <v>17</v>
      </c>
      <c r="L69" s="32">
        <f t="shared" si="33"/>
        <v>18</v>
      </c>
      <c r="M69" s="32">
        <f t="shared" si="33"/>
        <v>18</v>
      </c>
      <c r="N69" s="32">
        <f t="shared" si="33"/>
        <v>16</v>
      </c>
      <c r="O69" s="32">
        <f t="shared" si="33"/>
        <v>16</v>
      </c>
      <c r="P69" s="32">
        <f t="shared" si="33"/>
        <v>17</v>
      </c>
      <c r="Q69" s="32">
        <f t="shared" si="33"/>
        <v>17</v>
      </c>
      <c r="R69" s="32">
        <f t="shared" si="33"/>
        <v>14</v>
      </c>
      <c r="S69" s="32">
        <f t="shared" si="33"/>
        <v>14</v>
      </c>
      <c r="T69" s="32">
        <f t="shared" si="33"/>
        <v>14</v>
      </c>
    </row>
    <row r="70" spans="2:20">
      <c r="B70" s="32">
        <f t="shared" ref="B70:T70" si="34">RANK(B19,B$5:B$50)</f>
        <v>15</v>
      </c>
      <c r="C70" s="32">
        <f t="shared" si="34"/>
        <v>15</v>
      </c>
      <c r="D70" s="32">
        <f t="shared" si="34"/>
        <v>13</v>
      </c>
      <c r="E70" s="32">
        <f t="shared" si="34"/>
        <v>13</v>
      </c>
      <c r="F70" s="32">
        <f t="shared" si="34"/>
        <v>14</v>
      </c>
      <c r="G70" s="32">
        <f t="shared" si="34"/>
        <v>14</v>
      </c>
      <c r="H70" s="32">
        <f t="shared" si="34"/>
        <v>17</v>
      </c>
      <c r="I70" s="32">
        <f t="shared" si="34"/>
        <v>17</v>
      </c>
      <c r="J70" s="32">
        <f t="shared" si="34"/>
        <v>16</v>
      </c>
      <c r="K70" s="32">
        <f t="shared" si="34"/>
        <v>16</v>
      </c>
      <c r="L70" s="32">
        <f t="shared" si="34"/>
        <v>15</v>
      </c>
      <c r="M70" s="32">
        <f t="shared" si="34"/>
        <v>15</v>
      </c>
      <c r="N70" s="32">
        <f t="shared" si="34"/>
        <v>15</v>
      </c>
      <c r="O70" s="32">
        <f t="shared" si="34"/>
        <v>15</v>
      </c>
      <c r="P70" s="32">
        <f t="shared" si="34"/>
        <v>15</v>
      </c>
      <c r="Q70" s="32">
        <f t="shared" si="34"/>
        <v>15</v>
      </c>
      <c r="R70" s="32">
        <f t="shared" si="34"/>
        <v>15</v>
      </c>
      <c r="S70" s="32">
        <f t="shared" si="34"/>
        <v>15</v>
      </c>
      <c r="T70" s="32">
        <f t="shared" si="34"/>
        <v>15</v>
      </c>
    </row>
    <row r="71" spans="2:20">
      <c r="B71" s="32">
        <f t="shared" ref="B71:T71" si="35">RANK(B20,B$5:B$50)</f>
        <v>9</v>
      </c>
      <c r="C71" s="32">
        <f t="shared" si="35"/>
        <v>9</v>
      </c>
      <c r="D71" s="32">
        <f t="shared" si="35"/>
        <v>10</v>
      </c>
      <c r="E71" s="32">
        <f t="shared" si="35"/>
        <v>10</v>
      </c>
      <c r="F71" s="32">
        <f t="shared" si="35"/>
        <v>11</v>
      </c>
      <c r="G71" s="32">
        <f t="shared" si="35"/>
        <v>11</v>
      </c>
      <c r="H71" s="32">
        <f t="shared" si="35"/>
        <v>13</v>
      </c>
      <c r="I71" s="32">
        <f t="shared" si="35"/>
        <v>13</v>
      </c>
      <c r="J71" s="32">
        <f t="shared" si="35"/>
        <v>14</v>
      </c>
      <c r="K71" s="32">
        <f t="shared" si="35"/>
        <v>14</v>
      </c>
      <c r="L71" s="32">
        <f t="shared" si="35"/>
        <v>13</v>
      </c>
      <c r="M71" s="32">
        <f t="shared" si="35"/>
        <v>13</v>
      </c>
      <c r="N71" s="32">
        <f t="shared" si="35"/>
        <v>14</v>
      </c>
      <c r="O71" s="32">
        <f t="shared" si="35"/>
        <v>14</v>
      </c>
      <c r="P71" s="32">
        <f t="shared" si="35"/>
        <v>14</v>
      </c>
      <c r="Q71" s="32">
        <f t="shared" si="35"/>
        <v>14</v>
      </c>
      <c r="R71" s="32">
        <f t="shared" si="35"/>
        <v>19</v>
      </c>
      <c r="S71" s="32">
        <f t="shared" si="35"/>
        <v>19</v>
      </c>
      <c r="T71" s="32">
        <f t="shared" si="35"/>
        <v>16</v>
      </c>
    </row>
    <row r="72" spans="2:20">
      <c r="B72" s="32">
        <f t="shared" ref="B72:T72" si="36">RANK(B21,B$5:B$50)</f>
        <v>19</v>
      </c>
      <c r="C72" s="32">
        <f t="shared" si="36"/>
        <v>19</v>
      </c>
      <c r="D72" s="32">
        <f t="shared" si="36"/>
        <v>18</v>
      </c>
      <c r="E72" s="32">
        <f t="shared" si="36"/>
        <v>18</v>
      </c>
      <c r="F72" s="32">
        <f t="shared" si="36"/>
        <v>16</v>
      </c>
      <c r="G72" s="32">
        <f t="shared" si="36"/>
        <v>16</v>
      </c>
      <c r="H72" s="32">
        <f t="shared" si="36"/>
        <v>22</v>
      </c>
      <c r="I72" s="32">
        <f t="shared" si="36"/>
        <v>22</v>
      </c>
      <c r="J72" s="32">
        <f t="shared" si="36"/>
        <v>22</v>
      </c>
      <c r="K72" s="32">
        <f t="shared" si="36"/>
        <v>22</v>
      </c>
      <c r="L72" s="32">
        <f t="shared" si="36"/>
        <v>19</v>
      </c>
      <c r="M72" s="32">
        <f t="shared" si="36"/>
        <v>19</v>
      </c>
      <c r="N72" s="32">
        <f t="shared" si="36"/>
        <v>19</v>
      </c>
      <c r="O72" s="32">
        <f t="shared" si="36"/>
        <v>19</v>
      </c>
      <c r="P72" s="32">
        <f t="shared" si="36"/>
        <v>16</v>
      </c>
      <c r="Q72" s="32">
        <f t="shared" si="36"/>
        <v>16</v>
      </c>
      <c r="R72" s="32">
        <f t="shared" si="36"/>
        <v>16</v>
      </c>
      <c r="S72" s="32">
        <f t="shared" si="36"/>
        <v>16</v>
      </c>
      <c r="T72" s="32">
        <f t="shared" si="36"/>
        <v>17</v>
      </c>
    </row>
    <row r="73" spans="2:20">
      <c r="B73" s="32">
        <f t="shared" ref="B73:T73" si="37">RANK(B22,B$5:B$50)</f>
        <v>21</v>
      </c>
      <c r="C73" s="32">
        <f t="shared" si="37"/>
        <v>21</v>
      </c>
      <c r="D73" s="32">
        <f t="shared" si="37"/>
        <v>16</v>
      </c>
      <c r="E73" s="32">
        <f t="shared" si="37"/>
        <v>16</v>
      </c>
      <c r="F73" s="32">
        <f t="shared" si="37"/>
        <v>20</v>
      </c>
      <c r="G73" s="32">
        <f t="shared" si="37"/>
        <v>20</v>
      </c>
      <c r="H73" s="32">
        <f t="shared" si="37"/>
        <v>15</v>
      </c>
      <c r="I73" s="32">
        <f t="shared" si="37"/>
        <v>15</v>
      </c>
      <c r="J73" s="32">
        <f t="shared" si="37"/>
        <v>18</v>
      </c>
      <c r="K73" s="32">
        <f t="shared" si="37"/>
        <v>18</v>
      </c>
      <c r="L73" s="32">
        <f t="shared" si="37"/>
        <v>17</v>
      </c>
      <c r="M73" s="32">
        <f t="shared" si="37"/>
        <v>17</v>
      </c>
      <c r="N73" s="32">
        <f t="shared" si="37"/>
        <v>18</v>
      </c>
      <c r="O73" s="32">
        <f t="shared" si="37"/>
        <v>18</v>
      </c>
      <c r="P73" s="32">
        <f t="shared" si="37"/>
        <v>19</v>
      </c>
      <c r="Q73" s="32">
        <f t="shared" si="37"/>
        <v>19</v>
      </c>
      <c r="R73" s="32">
        <f t="shared" si="37"/>
        <v>18</v>
      </c>
      <c r="S73" s="32">
        <f t="shared" si="37"/>
        <v>18</v>
      </c>
      <c r="T73" s="32">
        <f t="shared" si="37"/>
        <v>18</v>
      </c>
    </row>
    <row r="74" spans="2:20">
      <c r="B74" s="32">
        <f t="shared" ref="B74:T74" si="38">RANK(B23,B$5:B$50)</f>
        <v>12</v>
      </c>
      <c r="C74" s="32">
        <f t="shared" si="38"/>
        <v>12</v>
      </c>
      <c r="D74" s="32">
        <f t="shared" si="38"/>
        <v>15</v>
      </c>
      <c r="E74" s="32">
        <f t="shared" si="38"/>
        <v>15</v>
      </c>
      <c r="F74" s="32">
        <f t="shared" si="38"/>
        <v>13</v>
      </c>
      <c r="G74" s="32">
        <f t="shared" si="38"/>
        <v>13</v>
      </c>
      <c r="H74" s="32">
        <f t="shared" si="38"/>
        <v>14</v>
      </c>
      <c r="I74" s="32">
        <f t="shared" si="38"/>
        <v>14</v>
      </c>
      <c r="J74" s="32">
        <f t="shared" si="38"/>
        <v>15</v>
      </c>
      <c r="K74" s="32">
        <f t="shared" si="38"/>
        <v>15</v>
      </c>
      <c r="L74" s="32">
        <f t="shared" si="38"/>
        <v>16</v>
      </c>
      <c r="M74" s="32">
        <f t="shared" si="38"/>
        <v>16</v>
      </c>
      <c r="N74" s="32">
        <f t="shared" si="38"/>
        <v>21</v>
      </c>
      <c r="O74" s="32">
        <f t="shared" si="38"/>
        <v>21</v>
      </c>
      <c r="P74" s="32">
        <f t="shared" si="38"/>
        <v>20</v>
      </c>
      <c r="Q74" s="32">
        <f t="shared" si="38"/>
        <v>20</v>
      </c>
      <c r="R74" s="32">
        <f t="shared" si="38"/>
        <v>24</v>
      </c>
      <c r="S74" s="32">
        <f t="shared" si="38"/>
        <v>24</v>
      </c>
      <c r="T74" s="32">
        <f t="shared" si="38"/>
        <v>19</v>
      </c>
    </row>
    <row r="75" spans="2:20">
      <c r="B75" s="32">
        <f t="shared" ref="B75:T75" si="39">RANK(B24,B$5:B$50)</f>
        <v>29</v>
      </c>
      <c r="C75" s="32">
        <f t="shared" si="39"/>
        <v>29</v>
      </c>
      <c r="D75" s="32">
        <f t="shared" si="39"/>
        <v>25</v>
      </c>
      <c r="E75" s="32">
        <f t="shared" si="39"/>
        <v>25</v>
      </c>
      <c r="F75" s="32">
        <f t="shared" si="39"/>
        <v>20</v>
      </c>
      <c r="G75" s="32">
        <f t="shared" si="39"/>
        <v>20</v>
      </c>
      <c r="H75" s="32">
        <f t="shared" si="39"/>
        <v>24</v>
      </c>
      <c r="I75" s="32">
        <f t="shared" si="39"/>
        <v>24</v>
      </c>
      <c r="J75" s="32">
        <f t="shared" si="39"/>
        <v>19</v>
      </c>
      <c r="K75" s="32">
        <f t="shared" si="39"/>
        <v>19</v>
      </c>
      <c r="L75" s="32">
        <f t="shared" si="39"/>
        <v>22</v>
      </c>
      <c r="M75" s="32">
        <f t="shared" si="39"/>
        <v>22</v>
      </c>
      <c r="N75" s="32">
        <f t="shared" si="39"/>
        <v>16</v>
      </c>
      <c r="O75" s="32">
        <f t="shared" si="39"/>
        <v>16</v>
      </c>
      <c r="P75" s="32">
        <f t="shared" si="39"/>
        <v>18</v>
      </c>
      <c r="Q75" s="32">
        <f t="shared" si="39"/>
        <v>18</v>
      </c>
      <c r="R75" s="32">
        <f t="shared" si="39"/>
        <v>17</v>
      </c>
      <c r="S75" s="32">
        <f t="shared" si="39"/>
        <v>17</v>
      </c>
      <c r="T75" s="32">
        <f t="shared" si="39"/>
        <v>20</v>
      </c>
    </row>
    <row r="76" spans="2:20">
      <c r="B76" s="32">
        <f t="shared" ref="B76:T76" si="40">RANK(B25,B$5:B$50)</f>
        <v>20</v>
      </c>
      <c r="C76" s="32">
        <f t="shared" si="40"/>
        <v>20</v>
      </c>
      <c r="D76" s="32">
        <f t="shared" si="40"/>
        <v>21</v>
      </c>
      <c r="E76" s="32">
        <f t="shared" si="40"/>
        <v>21</v>
      </c>
      <c r="F76" s="32">
        <f t="shared" si="40"/>
        <v>17</v>
      </c>
      <c r="G76" s="32">
        <f t="shared" si="40"/>
        <v>17</v>
      </c>
      <c r="H76" s="32">
        <f t="shared" si="40"/>
        <v>21</v>
      </c>
      <c r="I76" s="32">
        <f t="shared" si="40"/>
        <v>21</v>
      </c>
      <c r="J76" s="32">
        <f t="shared" si="40"/>
        <v>19</v>
      </c>
      <c r="K76" s="32">
        <f t="shared" si="40"/>
        <v>19</v>
      </c>
      <c r="L76" s="32">
        <f t="shared" si="40"/>
        <v>23</v>
      </c>
      <c r="M76" s="32">
        <f t="shared" si="40"/>
        <v>23</v>
      </c>
      <c r="N76" s="32">
        <f t="shared" si="40"/>
        <v>23</v>
      </c>
      <c r="O76" s="32">
        <f t="shared" si="40"/>
        <v>23</v>
      </c>
      <c r="P76" s="32">
        <f t="shared" si="40"/>
        <v>27</v>
      </c>
      <c r="Q76" s="32">
        <f t="shared" si="40"/>
        <v>27</v>
      </c>
      <c r="R76" s="32">
        <f t="shared" si="40"/>
        <v>26</v>
      </c>
      <c r="S76" s="32">
        <f t="shared" si="40"/>
        <v>26</v>
      </c>
      <c r="T76" s="32">
        <f t="shared" si="40"/>
        <v>21</v>
      </c>
    </row>
    <row r="77" spans="2:20">
      <c r="B77" s="32">
        <f t="shared" ref="B77:T77" si="41">RANK(B26,B$5:B$50)</f>
        <v>23</v>
      </c>
      <c r="C77" s="32">
        <f t="shared" si="41"/>
        <v>23</v>
      </c>
      <c r="D77" s="32">
        <f t="shared" si="41"/>
        <v>23</v>
      </c>
      <c r="E77" s="32">
        <f t="shared" si="41"/>
        <v>23</v>
      </c>
      <c r="F77" s="32">
        <f t="shared" si="41"/>
        <v>18</v>
      </c>
      <c r="G77" s="32">
        <f t="shared" si="41"/>
        <v>18</v>
      </c>
      <c r="H77" s="32">
        <f t="shared" si="41"/>
        <v>20</v>
      </c>
      <c r="I77" s="32">
        <f t="shared" si="41"/>
        <v>20</v>
      </c>
      <c r="J77" s="32">
        <f t="shared" si="41"/>
        <v>21</v>
      </c>
      <c r="K77" s="32">
        <f t="shared" si="41"/>
        <v>21</v>
      </c>
      <c r="L77" s="32">
        <f t="shared" si="41"/>
        <v>20</v>
      </c>
      <c r="M77" s="32">
        <f t="shared" si="41"/>
        <v>20</v>
      </c>
      <c r="N77" s="32">
        <f t="shared" si="41"/>
        <v>22</v>
      </c>
      <c r="O77" s="32">
        <f t="shared" si="41"/>
        <v>22</v>
      </c>
      <c r="P77" s="32">
        <f t="shared" si="41"/>
        <v>21</v>
      </c>
      <c r="Q77" s="32">
        <f t="shared" si="41"/>
        <v>21</v>
      </c>
      <c r="R77" s="32">
        <f t="shared" si="41"/>
        <v>20</v>
      </c>
      <c r="S77" s="32">
        <f t="shared" si="41"/>
        <v>20</v>
      </c>
      <c r="T77" s="32">
        <f t="shared" si="41"/>
        <v>22</v>
      </c>
    </row>
    <row r="78" spans="2:20">
      <c r="B78" s="32">
        <f t="shared" ref="B78:T78" si="42">RANK(B27,B$5:B$50)</f>
        <v>18</v>
      </c>
      <c r="C78" s="32">
        <f t="shared" si="42"/>
        <v>18</v>
      </c>
      <c r="D78" s="32">
        <f t="shared" si="42"/>
        <v>20</v>
      </c>
      <c r="E78" s="32">
        <f t="shared" si="42"/>
        <v>20</v>
      </c>
      <c r="F78" s="32">
        <f t="shared" si="42"/>
        <v>22</v>
      </c>
      <c r="G78" s="32">
        <f t="shared" si="42"/>
        <v>22</v>
      </c>
      <c r="H78" s="32">
        <f t="shared" si="42"/>
        <v>19</v>
      </c>
      <c r="I78" s="32">
        <f t="shared" si="42"/>
        <v>19</v>
      </c>
      <c r="J78" s="32">
        <f t="shared" si="42"/>
        <v>23</v>
      </c>
      <c r="K78" s="32">
        <f t="shared" si="42"/>
        <v>23</v>
      </c>
      <c r="L78" s="32">
        <f t="shared" si="42"/>
        <v>24</v>
      </c>
      <c r="M78" s="32">
        <f t="shared" si="42"/>
        <v>24</v>
      </c>
      <c r="N78" s="32">
        <f t="shared" si="42"/>
        <v>30</v>
      </c>
      <c r="O78" s="32">
        <f t="shared" si="42"/>
        <v>30</v>
      </c>
      <c r="P78" s="32">
        <f t="shared" si="42"/>
        <v>23</v>
      </c>
      <c r="Q78" s="32">
        <f t="shared" si="42"/>
        <v>23</v>
      </c>
      <c r="R78" s="32">
        <f t="shared" si="42"/>
        <v>22</v>
      </c>
      <c r="S78" s="32">
        <f t="shared" si="42"/>
        <v>22</v>
      </c>
      <c r="T78" s="32">
        <f t="shared" si="42"/>
        <v>23</v>
      </c>
    </row>
    <row r="79" spans="2:20">
      <c r="B79" s="32">
        <f t="shared" ref="B79:T79" si="43">RANK(B28,B$5:B$50)</f>
        <v>25</v>
      </c>
      <c r="C79" s="32">
        <f t="shared" si="43"/>
        <v>25</v>
      </c>
      <c r="D79" s="32">
        <f t="shared" si="43"/>
        <v>18</v>
      </c>
      <c r="E79" s="32">
        <f t="shared" si="43"/>
        <v>18</v>
      </c>
      <c r="F79" s="32">
        <f t="shared" si="43"/>
        <v>23</v>
      </c>
      <c r="G79" s="32">
        <f t="shared" si="43"/>
        <v>23</v>
      </c>
      <c r="H79" s="32">
        <f t="shared" si="43"/>
        <v>28</v>
      </c>
      <c r="I79" s="32">
        <f t="shared" si="43"/>
        <v>28</v>
      </c>
      <c r="J79" s="32">
        <f t="shared" si="43"/>
        <v>24</v>
      </c>
      <c r="K79" s="32">
        <f t="shared" si="43"/>
        <v>24</v>
      </c>
      <c r="L79" s="32">
        <f t="shared" si="43"/>
        <v>29</v>
      </c>
      <c r="M79" s="32">
        <f t="shared" si="43"/>
        <v>29</v>
      </c>
      <c r="N79" s="32">
        <f t="shared" si="43"/>
        <v>25</v>
      </c>
      <c r="O79" s="32">
        <f t="shared" si="43"/>
        <v>25</v>
      </c>
      <c r="P79" s="32">
        <f t="shared" si="43"/>
        <v>23</v>
      </c>
      <c r="Q79" s="32">
        <f t="shared" si="43"/>
        <v>23</v>
      </c>
      <c r="R79" s="32">
        <f t="shared" si="43"/>
        <v>24</v>
      </c>
      <c r="S79" s="32">
        <f t="shared" si="43"/>
        <v>24</v>
      </c>
      <c r="T79" s="32">
        <f t="shared" si="43"/>
        <v>23</v>
      </c>
    </row>
    <row r="80" spans="2:20">
      <c r="B80" s="32">
        <f t="shared" ref="B80:T80" si="44">RANK(B29,B$5:B$50)</f>
        <v>32</v>
      </c>
      <c r="C80" s="32">
        <f t="shared" si="44"/>
        <v>32</v>
      </c>
      <c r="D80" s="32" t="e">
        <f t="shared" si="44"/>
        <v>#VALUE!</v>
      </c>
      <c r="E80" s="32" t="e">
        <f t="shared" si="44"/>
        <v>#VALUE!</v>
      </c>
      <c r="F80" s="32">
        <f t="shared" si="44"/>
        <v>30</v>
      </c>
      <c r="G80" s="32">
        <f t="shared" si="44"/>
        <v>30</v>
      </c>
      <c r="H80" s="32">
        <f t="shared" si="44"/>
        <v>32</v>
      </c>
      <c r="I80" s="32">
        <f t="shared" si="44"/>
        <v>32</v>
      </c>
      <c r="J80" s="32">
        <f t="shared" si="44"/>
        <v>34</v>
      </c>
      <c r="K80" s="32">
        <f t="shared" si="44"/>
        <v>34</v>
      </c>
      <c r="L80" s="32">
        <f t="shared" si="44"/>
        <v>32</v>
      </c>
      <c r="M80" s="32">
        <f t="shared" si="44"/>
        <v>32</v>
      </c>
      <c r="N80" s="32" t="e">
        <f t="shared" si="44"/>
        <v>#VALUE!</v>
      </c>
      <c r="O80" s="32" t="e">
        <f t="shared" si="44"/>
        <v>#VALUE!</v>
      </c>
      <c r="P80" s="32">
        <f t="shared" si="44"/>
        <v>32</v>
      </c>
      <c r="Q80" s="32">
        <f t="shared" si="44"/>
        <v>32</v>
      </c>
      <c r="R80" s="32">
        <f t="shared" si="44"/>
        <v>34</v>
      </c>
      <c r="S80" s="32">
        <f t="shared" si="44"/>
        <v>34</v>
      </c>
      <c r="T80" s="32">
        <f t="shared" si="44"/>
        <v>23</v>
      </c>
    </row>
    <row r="81" spans="2:20">
      <c r="B81" s="32">
        <f t="shared" ref="B81:T81" si="45">RANK(B30,B$5:B$50)</f>
        <v>24</v>
      </c>
      <c r="C81" s="32">
        <f t="shared" si="45"/>
        <v>24</v>
      </c>
      <c r="D81" s="32">
        <f t="shared" si="45"/>
        <v>30</v>
      </c>
      <c r="E81" s="32">
        <f t="shared" si="45"/>
        <v>30</v>
      </c>
      <c r="F81" s="32">
        <f t="shared" si="45"/>
        <v>25</v>
      </c>
      <c r="G81" s="32">
        <f t="shared" si="45"/>
        <v>25</v>
      </c>
      <c r="H81" s="32">
        <f t="shared" si="45"/>
        <v>26</v>
      </c>
      <c r="I81" s="32">
        <f t="shared" si="45"/>
        <v>26</v>
      </c>
      <c r="J81" s="32">
        <f t="shared" si="45"/>
        <v>26</v>
      </c>
      <c r="K81" s="32">
        <f t="shared" si="45"/>
        <v>26</v>
      </c>
      <c r="L81" s="32">
        <f t="shared" si="45"/>
        <v>21</v>
      </c>
      <c r="M81" s="32">
        <f t="shared" si="45"/>
        <v>21</v>
      </c>
      <c r="N81" s="32">
        <f t="shared" si="45"/>
        <v>20</v>
      </c>
      <c r="O81" s="32">
        <f t="shared" si="45"/>
        <v>20</v>
      </c>
      <c r="P81" s="32">
        <f t="shared" si="45"/>
        <v>26</v>
      </c>
      <c r="Q81" s="32">
        <f t="shared" si="45"/>
        <v>26</v>
      </c>
      <c r="R81" s="32">
        <f t="shared" si="45"/>
        <v>27</v>
      </c>
      <c r="S81" s="32">
        <f t="shared" si="45"/>
        <v>27</v>
      </c>
      <c r="T81" s="32">
        <f t="shared" si="45"/>
        <v>26</v>
      </c>
    </row>
    <row r="82" spans="2:20">
      <c r="B82" s="32">
        <f t="shared" ref="B82:T82" si="46">RANK(B31,B$5:B$50)</f>
        <v>34</v>
      </c>
      <c r="C82" s="32">
        <f t="shared" si="46"/>
        <v>34</v>
      </c>
      <c r="D82" s="32">
        <f t="shared" si="46"/>
        <v>30</v>
      </c>
      <c r="E82" s="32">
        <f t="shared" si="46"/>
        <v>30</v>
      </c>
      <c r="F82" s="32">
        <f t="shared" si="46"/>
        <v>29</v>
      </c>
      <c r="G82" s="32">
        <f t="shared" si="46"/>
        <v>29</v>
      </c>
      <c r="H82" s="32">
        <f t="shared" si="46"/>
        <v>29</v>
      </c>
      <c r="I82" s="32">
        <f t="shared" si="46"/>
        <v>29</v>
      </c>
      <c r="J82" s="32">
        <f t="shared" si="46"/>
        <v>29</v>
      </c>
      <c r="K82" s="32">
        <f t="shared" si="46"/>
        <v>29</v>
      </c>
      <c r="L82" s="32">
        <f t="shared" si="46"/>
        <v>26</v>
      </c>
      <c r="M82" s="32">
        <f t="shared" si="46"/>
        <v>26</v>
      </c>
      <c r="N82" s="32">
        <f t="shared" si="46"/>
        <v>30</v>
      </c>
      <c r="O82" s="32">
        <f t="shared" si="46"/>
        <v>30</v>
      </c>
      <c r="P82" s="32">
        <f t="shared" si="46"/>
        <v>29</v>
      </c>
      <c r="Q82" s="32">
        <f t="shared" si="46"/>
        <v>29</v>
      </c>
      <c r="R82" s="32">
        <f t="shared" si="46"/>
        <v>29</v>
      </c>
      <c r="S82" s="32">
        <f t="shared" si="46"/>
        <v>29</v>
      </c>
      <c r="T82" s="32">
        <f t="shared" si="46"/>
        <v>27</v>
      </c>
    </row>
    <row r="83" spans="2:20">
      <c r="B83" s="32">
        <f t="shared" ref="B83:T83" si="47">RANK(B32,B$5:B$50)</f>
        <v>32</v>
      </c>
      <c r="C83" s="32">
        <f t="shared" si="47"/>
        <v>32</v>
      </c>
      <c r="D83" s="32">
        <f t="shared" si="47"/>
        <v>37</v>
      </c>
      <c r="E83" s="32">
        <f t="shared" si="47"/>
        <v>37</v>
      </c>
      <c r="F83" s="32">
        <f t="shared" si="47"/>
        <v>30</v>
      </c>
      <c r="G83" s="32">
        <f t="shared" si="47"/>
        <v>30</v>
      </c>
      <c r="H83" s="32">
        <f t="shared" si="47"/>
        <v>30</v>
      </c>
      <c r="I83" s="32">
        <f t="shared" si="47"/>
        <v>30</v>
      </c>
      <c r="J83" s="32">
        <f t="shared" si="47"/>
        <v>31</v>
      </c>
      <c r="K83" s="32">
        <f t="shared" si="47"/>
        <v>31</v>
      </c>
      <c r="L83" s="32">
        <f t="shared" si="47"/>
        <v>32</v>
      </c>
      <c r="M83" s="32">
        <f t="shared" si="47"/>
        <v>32</v>
      </c>
      <c r="N83" s="32">
        <f t="shared" si="47"/>
        <v>24</v>
      </c>
      <c r="O83" s="32">
        <f t="shared" si="47"/>
        <v>24</v>
      </c>
      <c r="P83" s="32">
        <f t="shared" si="47"/>
        <v>25</v>
      </c>
      <c r="Q83" s="32">
        <f t="shared" si="47"/>
        <v>25</v>
      </c>
      <c r="R83" s="32">
        <f t="shared" si="47"/>
        <v>30</v>
      </c>
      <c r="S83" s="32">
        <f t="shared" si="47"/>
        <v>30</v>
      </c>
      <c r="T83" s="32">
        <f t="shared" si="47"/>
        <v>28</v>
      </c>
    </row>
    <row r="84" spans="2:20">
      <c r="B84" s="32">
        <f t="shared" ref="B84:T84" si="48">RANK(B33,B$5:B$50)</f>
        <v>14</v>
      </c>
      <c r="C84" s="32">
        <f t="shared" si="48"/>
        <v>14</v>
      </c>
      <c r="D84" s="32">
        <f t="shared" si="48"/>
        <v>22</v>
      </c>
      <c r="E84" s="32">
        <f t="shared" si="48"/>
        <v>22</v>
      </c>
      <c r="F84" s="32">
        <f t="shared" si="48"/>
        <v>28</v>
      </c>
      <c r="G84" s="32">
        <f t="shared" si="48"/>
        <v>28</v>
      </c>
      <c r="H84" s="32">
        <f t="shared" si="48"/>
        <v>27</v>
      </c>
      <c r="I84" s="32">
        <f t="shared" si="48"/>
        <v>27</v>
      </c>
      <c r="J84" s="32">
        <f t="shared" si="48"/>
        <v>25</v>
      </c>
      <c r="K84" s="32">
        <f t="shared" si="48"/>
        <v>25</v>
      </c>
      <c r="L84" s="32">
        <f t="shared" si="48"/>
        <v>27</v>
      </c>
      <c r="M84" s="32">
        <f t="shared" si="48"/>
        <v>27</v>
      </c>
      <c r="N84" s="32">
        <f t="shared" si="48"/>
        <v>32</v>
      </c>
      <c r="O84" s="32">
        <f t="shared" si="48"/>
        <v>32</v>
      </c>
      <c r="P84" s="32">
        <f t="shared" si="48"/>
        <v>34</v>
      </c>
      <c r="Q84" s="32">
        <f t="shared" si="48"/>
        <v>34</v>
      </c>
      <c r="R84" s="32">
        <f t="shared" si="48"/>
        <v>32</v>
      </c>
      <c r="S84" s="32">
        <f t="shared" si="48"/>
        <v>32</v>
      </c>
      <c r="T84" s="32">
        <f t="shared" si="48"/>
        <v>29</v>
      </c>
    </row>
    <row r="85" spans="2:20">
      <c r="B85" s="32">
        <f t="shared" ref="B85:T85" si="49">RANK(B34,B$5:B$50)</f>
        <v>28</v>
      </c>
      <c r="C85" s="32">
        <f t="shared" si="49"/>
        <v>28</v>
      </c>
      <c r="D85" s="32">
        <f t="shared" si="49"/>
        <v>26</v>
      </c>
      <c r="E85" s="32">
        <f t="shared" si="49"/>
        <v>26</v>
      </c>
      <c r="F85" s="32">
        <f t="shared" si="49"/>
        <v>27</v>
      </c>
      <c r="G85" s="32">
        <f t="shared" si="49"/>
        <v>27</v>
      </c>
      <c r="H85" s="32">
        <f t="shared" si="49"/>
        <v>25</v>
      </c>
      <c r="I85" s="32">
        <f t="shared" si="49"/>
        <v>25</v>
      </c>
      <c r="J85" s="32">
        <f t="shared" si="49"/>
        <v>29</v>
      </c>
      <c r="K85" s="32">
        <f t="shared" si="49"/>
        <v>29</v>
      </c>
      <c r="L85" s="32">
        <f t="shared" si="49"/>
        <v>27</v>
      </c>
      <c r="M85" s="32">
        <f t="shared" si="49"/>
        <v>27</v>
      </c>
      <c r="N85" s="32">
        <f t="shared" si="49"/>
        <v>28</v>
      </c>
      <c r="O85" s="32">
        <f t="shared" si="49"/>
        <v>28</v>
      </c>
      <c r="P85" s="32">
        <f t="shared" si="49"/>
        <v>30</v>
      </c>
      <c r="Q85" s="32">
        <f t="shared" si="49"/>
        <v>30</v>
      </c>
      <c r="R85" s="32">
        <f t="shared" si="49"/>
        <v>39</v>
      </c>
      <c r="S85" s="32" t="e">
        <f t="shared" si="49"/>
        <v>#VALUE!</v>
      </c>
      <c r="T85" s="32">
        <f t="shared" si="49"/>
        <v>29</v>
      </c>
    </row>
    <row r="86" spans="2:20">
      <c r="B86" s="32">
        <f t="shared" ref="B86:T86" si="50">RANK(B35,B$5:B$50)</f>
        <v>29</v>
      </c>
      <c r="C86" s="32">
        <f t="shared" si="50"/>
        <v>29</v>
      </c>
      <c r="D86" s="32">
        <f t="shared" si="50"/>
        <v>34</v>
      </c>
      <c r="E86" s="32">
        <f t="shared" si="50"/>
        <v>34</v>
      </c>
      <c r="F86" s="32" t="e">
        <f t="shared" si="50"/>
        <v>#VALUE!</v>
      </c>
      <c r="G86" s="32" t="e">
        <f t="shared" si="50"/>
        <v>#VALUE!</v>
      </c>
      <c r="H86" s="32" t="e">
        <f t="shared" si="50"/>
        <v>#VALUE!</v>
      </c>
      <c r="I86" s="32" t="e">
        <f t="shared" si="50"/>
        <v>#VALUE!</v>
      </c>
      <c r="J86" s="32">
        <f t="shared" si="50"/>
        <v>28</v>
      </c>
      <c r="K86" s="32">
        <f t="shared" si="50"/>
        <v>28</v>
      </c>
      <c r="L86" s="32">
        <f t="shared" si="50"/>
        <v>32</v>
      </c>
      <c r="M86" s="32">
        <f t="shared" si="50"/>
        <v>32</v>
      </c>
      <c r="N86" s="32">
        <f t="shared" si="50"/>
        <v>26</v>
      </c>
      <c r="O86" s="32">
        <f t="shared" si="50"/>
        <v>26</v>
      </c>
      <c r="P86" s="32" t="e">
        <f t="shared" si="50"/>
        <v>#VALUE!</v>
      </c>
      <c r="Q86" s="32" t="e">
        <f t="shared" si="50"/>
        <v>#VALUE!</v>
      </c>
      <c r="R86" s="32">
        <f t="shared" si="50"/>
        <v>21</v>
      </c>
      <c r="S86" s="32">
        <f t="shared" si="50"/>
        <v>21</v>
      </c>
      <c r="T86" s="32">
        <f t="shared" si="50"/>
        <v>31</v>
      </c>
    </row>
    <row r="87" spans="2:20">
      <c r="B87" s="32">
        <f t="shared" ref="B87:T87" si="51">RANK(B36,B$5:B$50)</f>
        <v>31</v>
      </c>
      <c r="C87" s="32">
        <f t="shared" si="51"/>
        <v>31</v>
      </c>
      <c r="D87" s="32">
        <f t="shared" si="51"/>
        <v>26</v>
      </c>
      <c r="E87" s="32">
        <f t="shared" si="51"/>
        <v>26</v>
      </c>
      <c r="F87" s="32" t="e">
        <f t="shared" si="51"/>
        <v>#VALUE!</v>
      </c>
      <c r="G87" s="32" t="e">
        <f t="shared" si="51"/>
        <v>#VALUE!</v>
      </c>
      <c r="H87" s="32">
        <f t="shared" si="51"/>
        <v>37</v>
      </c>
      <c r="I87" s="32">
        <f t="shared" si="51"/>
        <v>37</v>
      </c>
      <c r="J87" s="32" t="e">
        <f t="shared" si="51"/>
        <v>#VALUE!</v>
      </c>
      <c r="K87" s="32" t="e">
        <f t="shared" si="51"/>
        <v>#VALUE!</v>
      </c>
      <c r="L87" s="32" t="e">
        <f t="shared" si="51"/>
        <v>#VALUE!</v>
      </c>
      <c r="M87" s="32" t="e">
        <f t="shared" si="51"/>
        <v>#VALUE!</v>
      </c>
      <c r="N87" s="32">
        <f t="shared" si="51"/>
        <v>37</v>
      </c>
      <c r="O87" s="32">
        <f t="shared" si="51"/>
        <v>37</v>
      </c>
      <c r="P87" s="32">
        <f t="shared" si="51"/>
        <v>32</v>
      </c>
      <c r="Q87" s="32">
        <f t="shared" si="51"/>
        <v>32</v>
      </c>
      <c r="R87" s="32">
        <f t="shared" si="51"/>
        <v>31</v>
      </c>
      <c r="S87" s="32">
        <f t="shared" si="51"/>
        <v>31</v>
      </c>
      <c r="T87" s="32">
        <f t="shared" si="51"/>
        <v>31</v>
      </c>
    </row>
    <row r="88" spans="2:20">
      <c r="B88" s="32">
        <f t="shared" ref="B88:T88" si="52">RANK(B37,B$5:B$50)</f>
        <v>27</v>
      </c>
      <c r="C88" s="32">
        <f t="shared" si="52"/>
        <v>27</v>
      </c>
      <c r="D88" s="32">
        <f t="shared" si="52"/>
        <v>29</v>
      </c>
      <c r="E88" s="32">
        <f t="shared" si="52"/>
        <v>29</v>
      </c>
      <c r="F88" s="32">
        <f t="shared" si="52"/>
        <v>34</v>
      </c>
      <c r="G88" s="32">
        <f t="shared" si="52"/>
        <v>34</v>
      </c>
      <c r="H88" s="32">
        <f t="shared" si="52"/>
        <v>35</v>
      </c>
      <c r="I88" s="32">
        <f t="shared" si="52"/>
        <v>35</v>
      </c>
      <c r="J88" s="32" t="e">
        <f t="shared" si="52"/>
        <v>#VALUE!</v>
      </c>
      <c r="K88" s="32" t="e">
        <f t="shared" si="52"/>
        <v>#VALUE!</v>
      </c>
      <c r="L88" s="32">
        <f t="shared" si="52"/>
        <v>32</v>
      </c>
      <c r="M88" s="32">
        <f t="shared" si="52"/>
        <v>32</v>
      </c>
      <c r="N88" s="32">
        <f t="shared" si="52"/>
        <v>27</v>
      </c>
      <c r="O88" s="32">
        <f t="shared" si="52"/>
        <v>27</v>
      </c>
      <c r="P88" s="32">
        <f t="shared" si="52"/>
        <v>22</v>
      </c>
      <c r="Q88" s="32">
        <f t="shared" si="52"/>
        <v>22</v>
      </c>
      <c r="R88" s="32">
        <f t="shared" si="52"/>
        <v>27</v>
      </c>
      <c r="S88" s="32">
        <f t="shared" si="52"/>
        <v>27</v>
      </c>
      <c r="T88" s="32">
        <f t="shared" si="52"/>
        <v>33</v>
      </c>
    </row>
    <row r="89" spans="2:20">
      <c r="B89" s="32">
        <f t="shared" ref="B89:T89" si="53">RANK(B38,B$5:B$50)</f>
        <v>36</v>
      </c>
      <c r="C89" s="32">
        <f t="shared" si="53"/>
        <v>36</v>
      </c>
      <c r="D89" s="32">
        <f t="shared" si="53"/>
        <v>32</v>
      </c>
      <c r="E89" s="32">
        <f t="shared" si="53"/>
        <v>32</v>
      </c>
      <c r="F89" s="32">
        <f t="shared" si="53"/>
        <v>30</v>
      </c>
      <c r="G89" s="32">
        <f t="shared" si="53"/>
        <v>30</v>
      </c>
      <c r="H89" s="32">
        <f t="shared" si="53"/>
        <v>30</v>
      </c>
      <c r="I89" s="32">
        <f t="shared" si="53"/>
        <v>30</v>
      </c>
      <c r="J89" s="32">
        <f t="shared" si="53"/>
        <v>35</v>
      </c>
      <c r="K89" s="32">
        <f t="shared" si="53"/>
        <v>35</v>
      </c>
      <c r="L89" s="32">
        <f t="shared" si="53"/>
        <v>32</v>
      </c>
      <c r="M89" s="32">
        <f t="shared" si="53"/>
        <v>32</v>
      </c>
      <c r="N89" s="32" t="e">
        <f t="shared" si="53"/>
        <v>#VALUE!</v>
      </c>
      <c r="O89" s="32" t="e">
        <f t="shared" si="53"/>
        <v>#VALUE!</v>
      </c>
      <c r="P89" s="32">
        <f t="shared" si="53"/>
        <v>37</v>
      </c>
      <c r="Q89" s="32">
        <f t="shared" si="53"/>
        <v>37</v>
      </c>
      <c r="R89" s="32">
        <f t="shared" si="53"/>
        <v>35</v>
      </c>
      <c r="S89" s="32">
        <f t="shared" si="53"/>
        <v>35</v>
      </c>
      <c r="T89" s="32">
        <f t="shared" si="53"/>
        <v>33</v>
      </c>
    </row>
    <row r="90" spans="2:20">
      <c r="B90" s="32" t="e">
        <f t="shared" ref="B90:T90" si="54">RANK(B39,B$5:B$50)</f>
        <v>#VALUE!</v>
      </c>
      <c r="C90" s="32" t="e">
        <f t="shared" si="54"/>
        <v>#VALUE!</v>
      </c>
      <c r="D90" s="32">
        <f t="shared" si="54"/>
        <v>34</v>
      </c>
      <c r="E90" s="32">
        <f t="shared" si="54"/>
        <v>34</v>
      </c>
      <c r="F90" s="32" t="e">
        <f t="shared" si="54"/>
        <v>#VALUE!</v>
      </c>
      <c r="G90" s="32" t="e">
        <f t="shared" si="54"/>
        <v>#VALUE!</v>
      </c>
      <c r="H90" s="32">
        <f t="shared" si="54"/>
        <v>37</v>
      </c>
      <c r="I90" s="32">
        <f t="shared" si="54"/>
        <v>37</v>
      </c>
      <c r="J90" s="32" t="e">
        <f t="shared" si="54"/>
        <v>#VALUE!</v>
      </c>
      <c r="K90" s="32" t="e">
        <f t="shared" si="54"/>
        <v>#VALUE!</v>
      </c>
      <c r="L90" s="32" t="e">
        <f t="shared" si="54"/>
        <v>#VALUE!</v>
      </c>
      <c r="M90" s="32" t="e">
        <f t="shared" si="54"/>
        <v>#VALUE!</v>
      </c>
      <c r="N90" s="32" t="e">
        <f t="shared" si="54"/>
        <v>#VALUE!</v>
      </c>
      <c r="O90" s="32" t="e">
        <f t="shared" si="54"/>
        <v>#VALUE!</v>
      </c>
      <c r="P90" s="32" t="e">
        <f t="shared" si="54"/>
        <v>#VALUE!</v>
      </c>
      <c r="Q90" s="32" t="e">
        <f t="shared" si="54"/>
        <v>#VALUE!</v>
      </c>
      <c r="R90" s="32" t="e">
        <f t="shared" si="54"/>
        <v>#VALUE!</v>
      </c>
      <c r="S90" s="32" t="e">
        <f t="shared" si="54"/>
        <v>#VALUE!</v>
      </c>
      <c r="T90" s="32">
        <f t="shared" si="54"/>
        <v>35</v>
      </c>
    </row>
    <row r="91" spans="2:20">
      <c r="B91" s="32">
        <f t="shared" ref="B91:T91" si="55">RANK(B40,B$5:B$50)</f>
        <v>17</v>
      </c>
      <c r="C91" s="32">
        <f t="shared" si="55"/>
        <v>17</v>
      </c>
      <c r="D91" s="32">
        <f t="shared" si="55"/>
        <v>17</v>
      </c>
      <c r="E91" s="32">
        <f t="shared" si="55"/>
        <v>17</v>
      </c>
      <c r="F91" s="32">
        <f t="shared" si="55"/>
        <v>24</v>
      </c>
      <c r="G91" s="32">
        <f t="shared" si="55"/>
        <v>24</v>
      </c>
      <c r="H91" s="32">
        <f t="shared" si="55"/>
        <v>23</v>
      </c>
      <c r="I91" s="32">
        <f t="shared" si="55"/>
        <v>23</v>
      </c>
      <c r="J91" s="32">
        <f t="shared" si="55"/>
        <v>26</v>
      </c>
      <c r="K91" s="32">
        <f t="shared" si="55"/>
        <v>26</v>
      </c>
      <c r="L91" s="32">
        <f t="shared" si="55"/>
        <v>25</v>
      </c>
      <c r="M91" s="32">
        <f t="shared" si="55"/>
        <v>25</v>
      </c>
      <c r="N91" s="32">
        <f t="shared" si="55"/>
        <v>28</v>
      </c>
      <c r="O91" s="32">
        <f t="shared" si="55"/>
        <v>28</v>
      </c>
      <c r="P91" s="32">
        <f t="shared" si="55"/>
        <v>28</v>
      </c>
      <c r="Q91" s="32">
        <f t="shared" si="55"/>
        <v>28</v>
      </c>
      <c r="R91" s="32">
        <f t="shared" si="55"/>
        <v>23</v>
      </c>
      <c r="S91" s="32">
        <f t="shared" si="55"/>
        <v>23</v>
      </c>
      <c r="T91" s="32">
        <f t="shared" si="55"/>
        <v>36</v>
      </c>
    </row>
    <row r="92" spans="2:20">
      <c r="B92" s="32" t="e">
        <f t="shared" ref="B92:T92" si="56">RANK(B41,B$5:B$50)</f>
        <v>#VALUE!</v>
      </c>
      <c r="C92" s="32" t="e">
        <f t="shared" si="56"/>
        <v>#VALUE!</v>
      </c>
      <c r="D92" s="32">
        <f t="shared" si="56"/>
        <v>37</v>
      </c>
      <c r="E92" s="32">
        <f t="shared" si="56"/>
        <v>37</v>
      </c>
      <c r="F92" s="32" t="e">
        <f t="shared" si="56"/>
        <v>#VALUE!</v>
      </c>
      <c r="G92" s="32" t="e">
        <f t="shared" si="56"/>
        <v>#VALUE!</v>
      </c>
      <c r="H92" s="32" t="e">
        <f t="shared" si="56"/>
        <v>#VALUE!</v>
      </c>
      <c r="I92" s="32" t="e">
        <f t="shared" si="56"/>
        <v>#VALUE!</v>
      </c>
      <c r="J92" s="32">
        <f t="shared" si="56"/>
        <v>32</v>
      </c>
      <c r="K92" s="32">
        <f t="shared" si="56"/>
        <v>32</v>
      </c>
      <c r="L92" s="32" t="e">
        <f t="shared" si="56"/>
        <v>#VALUE!</v>
      </c>
      <c r="M92" s="32" t="e">
        <f t="shared" si="56"/>
        <v>#VALUE!</v>
      </c>
      <c r="N92" s="32">
        <f t="shared" si="56"/>
        <v>37</v>
      </c>
      <c r="O92" s="32">
        <f t="shared" si="56"/>
        <v>37</v>
      </c>
      <c r="P92" s="32">
        <f t="shared" si="56"/>
        <v>37</v>
      </c>
      <c r="Q92" s="32">
        <f t="shared" si="56"/>
        <v>37</v>
      </c>
      <c r="R92" s="32">
        <f t="shared" si="56"/>
        <v>32</v>
      </c>
      <c r="S92" s="32">
        <f t="shared" si="56"/>
        <v>32</v>
      </c>
      <c r="T92" s="32">
        <f t="shared" si="56"/>
        <v>36</v>
      </c>
    </row>
    <row r="93" spans="2:20">
      <c r="B93" s="32" t="e">
        <f t="shared" ref="B93:T93" si="57">RANK(B42,B$5:B$50)</f>
        <v>#VALUE!</v>
      </c>
      <c r="C93" s="32" t="e">
        <f t="shared" si="57"/>
        <v>#VALUE!</v>
      </c>
      <c r="D93" s="32">
        <f t="shared" si="57"/>
        <v>33</v>
      </c>
      <c r="E93" s="32">
        <f t="shared" si="57"/>
        <v>33</v>
      </c>
      <c r="F93" s="32" t="e">
        <f t="shared" si="57"/>
        <v>#VALUE!</v>
      </c>
      <c r="G93" s="32" t="e">
        <f t="shared" si="57"/>
        <v>#VALUE!</v>
      </c>
      <c r="H93" s="32">
        <f t="shared" si="57"/>
        <v>35</v>
      </c>
      <c r="I93" s="32">
        <f t="shared" si="57"/>
        <v>35</v>
      </c>
      <c r="J93" s="32" t="e">
        <f t="shared" si="57"/>
        <v>#VALUE!</v>
      </c>
      <c r="K93" s="32" t="e">
        <f t="shared" si="57"/>
        <v>#VALUE!</v>
      </c>
      <c r="L93" s="32">
        <f t="shared" si="57"/>
        <v>32</v>
      </c>
      <c r="M93" s="32">
        <f t="shared" si="57"/>
        <v>32</v>
      </c>
      <c r="N93" s="32">
        <f t="shared" si="57"/>
        <v>33</v>
      </c>
      <c r="O93" s="32">
        <f t="shared" si="57"/>
        <v>33</v>
      </c>
      <c r="P93" s="32">
        <f t="shared" si="57"/>
        <v>34</v>
      </c>
      <c r="Q93" s="32">
        <f t="shared" si="57"/>
        <v>34</v>
      </c>
      <c r="R93" s="32">
        <f t="shared" si="57"/>
        <v>35</v>
      </c>
      <c r="S93" s="32">
        <f t="shared" si="57"/>
        <v>35</v>
      </c>
      <c r="T93" s="32">
        <f t="shared" si="57"/>
        <v>36</v>
      </c>
    </row>
    <row r="94" spans="2:20">
      <c r="B94" s="32">
        <f t="shared" ref="B94:T94" si="58">RANK(B43,B$5:B$50)</f>
        <v>36</v>
      </c>
      <c r="C94" s="32">
        <f t="shared" si="58"/>
        <v>36</v>
      </c>
      <c r="D94" s="32">
        <f t="shared" si="58"/>
        <v>34</v>
      </c>
      <c r="E94" s="32">
        <f t="shared" si="58"/>
        <v>34</v>
      </c>
      <c r="F94" s="32">
        <f t="shared" si="58"/>
        <v>30</v>
      </c>
      <c r="G94" s="32">
        <f t="shared" si="58"/>
        <v>30</v>
      </c>
      <c r="H94" s="32">
        <f t="shared" si="58"/>
        <v>33</v>
      </c>
      <c r="I94" s="32">
        <f t="shared" si="58"/>
        <v>33</v>
      </c>
      <c r="J94" s="32" t="e">
        <f t="shared" si="58"/>
        <v>#VALUE!</v>
      </c>
      <c r="K94" s="32" t="e">
        <f t="shared" si="58"/>
        <v>#VALUE!</v>
      </c>
      <c r="L94" s="32">
        <f t="shared" si="58"/>
        <v>31</v>
      </c>
      <c r="M94" s="32">
        <f t="shared" si="58"/>
        <v>31</v>
      </c>
      <c r="N94" s="32">
        <f t="shared" si="58"/>
        <v>33</v>
      </c>
      <c r="O94" s="32">
        <f t="shared" si="58"/>
        <v>33</v>
      </c>
      <c r="P94" s="32">
        <f t="shared" si="58"/>
        <v>34</v>
      </c>
      <c r="Q94" s="32">
        <f t="shared" si="58"/>
        <v>34</v>
      </c>
      <c r="R94" s="32">
        <f t="shared" si="58"/>
        <v>35</v>
      </c>
      <c r="S94" s="32">
        <f t="shared" si="58"/>
        <v>35</v>
      </c>
      <c r="T94" s="32">
        <f t="shared" si="58"/>
        <v>39</v>
      </c>
    </row>
    <row r="95" spans="2:20">
      <c r="B95" s="32" t="e">
        <f t="shared" ref="B95:T95" si="59">RANK(B44,B$5:B$50)</f>
        <v>#VALUE!</v>
      </c>
      <c r="C95" s="32" t="e">
        <f t="shared" si="59"/>
        <v>#VALUE!</v>
      </c>
      <c r="D95" s="32" t="e">
        <f t="shared" si="59"/>
        <v>#VALUE!</v>
      </c>
      <c r="E95" s="32" t="e">
        <f t="shared" si="59"/>
        <v>#VALUE!</v>
      </c>
      <c r="F95" s="32">
        <f t="shared" si="59"/>
        <v>34</v>
      </c>
      <c r="G95" s="32">
        <f t="shared" si="59"/>
        <v>34</v>
      </c>
      <c r="H95" s="32" t="e">
        <f t="shared" si="59"/>
        <v>#VALUE!</v>
      </c>
      <c r="I95" s="32" t="e">
        <f t="shared" si="59"/>
        <v>#VALUE!</v>
      </c>
      <c r="J95" s="32">
        <f t="shared" si="59"/>
        <v>32</v>
      </c>
      <c r="K95" s="32">
        <f t="shared" si="59"/>
        <v>32</v>
      </c>
      <c r="L95" s="32" t="e">
        <f t="shared" si="59"/>
        <v>#VALUE!</v>
      </c>
      <c r="M95" s="32" t="e">
        <f t="shared" si="59"/>
        <v>#VALUE!</v>
      </c>
      <c r="N95" s="32">
        <f t="shared" si="59"/>
        <v>37</v>
      </c>
      <c r="O95" s="32">
        <f t="shared" si="59"/>
        <v>37</v>
      </c>
      <c r="P95" s="32">
        <f t="shared" si="59"/>
        <v>37</v>
      </c>
      <c r="Q95" s="32">
        <f t="shared" si="59"/>
        <v>37</v>
      </c>
      <c r="R95" s="32">
        <f t="shared" si="59"/>
        <v>35</v>
      </c>
      <c r="S95" s="32">
        <f t="shared" si="59"/>
        <v>35</v>
      </c>
      <c r="T95" s="32">
        <f t="shared" si="59"/>
        <v>39</v>
      </c>
    </row>
    <row r="96" spans="2:20">
      <c r="B96" s="32">
        <f t="shared" ref="B96:T96" si="60">RANK(B45,B$5:B$50)</f>
        <v>36</v>
      </c>
      <c r="C96" s="32">
        <f t="shared" si="60"/>
        <v>36</v>
      </c>
      <c r="D96" s="32">
        <f t="shared" si="60"/>
        <v>37</v>
      </c>
      <c r="E96" s="32">
        <f t="shared" si="60"/>
        <v>37</v>
      </c>
      <c r="F96" s="32">
        <f t="shared" si="60"/>
        <v>34</v>
      </c>
      <c r="G96" s="32">
        <f t="shared" si="60"/>
        <v>34</v>
      </c>
      <c r="H96" s="32" t="e">
        <f t="shared" si="60"/>
        <v>#VALUE!</v>
      </c>
      <c r="I96" s="32" t="e">
        <f t="shared" si="60"/>
        <v>#VALUE!</v>
      </c>
      <c r="J96" s="32" t="e">
        <f t="shared" si="60"/>
        <v>#VALUE!</v>
      </c>
      <c r="K96" s="32" t="e">
        <f t="shared" si="60"/>
        <v>#VALUE!</v>
      </c>
      <c r="L96" s="32">
        <f t="shared" si="60"/>
        <v>30</v>
      </c>
      <c r="M96" s="32">
        <f t="shared" si="60"/>
        <v>30</v>
      </c>
      <c r="N96" s="32" t="e">
        <f t="shared" si="60"/>
        <v>#VALUE!</v>
      </c>
      <c r="O96" s="32" t="e">
        <f t="shared" si="60"/>
        <v>#VALUE!</v>
      </c>
      <c r="P96" s="32" t="e">
        <f t="shared" si="60"/>
        <v>#VALUE!</v>
      </c>
      <c r="Q96" s="32" t="e">
        <f t="shared" si="60"/>
        <v>#VALUE!</v>
      </c>
      <c r="R96" s="32" t="e">
        <f t="shared" si="60"/>
        <v>#VALUE!</v>
      </c>
      <c r="S96" s="32" t="e">
        <f t="shared" si="60"/>
        <v>#VALUE!</v>
      </c>
      <c r="T96" s="32">
        <f t="shared" si="60"/>
        <v>39</v>
      </c>
    </row>
    <row r="97" spans="2:20">
      <c r="B97" s="32">
        <f t="shared" ref="B97:T97" si="61">RANK(B46,B$5:B$50)</f>
        <v>35</v>
      </c>
      <c r="C97" s="32">
        <f t="shared" si="61"/>
        <v>35</v>
      </c>
      <c r="D97" s="32">
        <f t="shared" si="61"/>
        <v>37</v>
      </c>
      <c r="E97" s="32">
        <f t="shared" si="61"/>
        <v>37</v>
      </c>
      <c r="F97" s="32">
        <f t="shared" si="61"/>
        <v>38</v>
      </c>
      <c r="G97" s="32">
        <f t="shared" si="61"/>
        <v>38</v>
      </c>
      <c r="H97" s="32">
        <f t="shared" si="61"/>
        <v>37</v>
      </c>
      <c r="I97" s="32">
        <f t="shared" si="61"/>
        <v>37</v>
      </c>
      <c r="J97" s="32" t="e">
        <f t="shared" si="61"/>
        <v>#VALUE!</v>
      </c>
      <c r="K97" s="32" t="e">
        <f t="shared" si="61"/>
        <v>#VALUE!</v>
      </c>
      <c r="L97" s="32">
        <f t="shared" si="61"/>
        <v>32</v>
      </c>
      <c r="M97" s="32">
        <f t="shared" si="61"/>
        <v>32</v>
      </c>
      <c r="N97" s="32">
        <f t="shared" si="61"/>
        <v>35</v>
      </c>
      <c r="O97" s="32">
        <f t="shared" si="61"/>
        <v>35</v>
      </c>
      <c r="P97" s="32">
        <f t="shared" si="61"/>
        <v>30</v>
      </c>
      <c r="Q97" s="32">
        <f t="shared" si="61"/>
        <v>30</v>
      </c>
      <c r="R97" s="32">
        <f t="shared" si="61"/>
        <v>39</v>
      </c>
      <c r="S97" s="32" t="e">
        <f t="shared" si="61"/>
        <v>#VALUE!</v>
      </c>
      <c r="T97" s="32">
        <f t="shared" si="61"/>
        <v>42</v>
      </c>
    </row>
    <row r="98" spans="2:20">
      <c r="B98" s="32" t="e">
        <f t="shared" ref="B98:T98" si="62">RANK(B47,B$5:B$50)</f>
        <v>#VALUE!</v>
      </c>
      <c r="C98" s="32" t="e">
        <f t="shared" si="62"/>
        <v>#VALUE!</v>
      </c>
      <c r="D98" s="32">
        <f t="shared" si="62"/>
        <v>37</v>
      </c>
      <c r="E98" s="32">
        <f t="shared" si="62"/>
        <v>37</v>
      </c>
      <c r="F98" s="32">
        <f t="shared" si="62"/>
        <v>39</v>
      </c>
      <c r="G98" s="32">
        <f t="shared" si="62"/>
        <v>39</v>
      </c>
      <c r="H98" s="32" t="e">
        <f t="shared" si="62"/>
        <v>#VALUE!</v>
      </c>
      <c r="I98" s="32" t="e">
        <f t="shared" si="62"/>
        <v>#VALUE!</v>
      </c>
      <c r="J98" s="32" t="e">
        <f t="shared" si="62"/>
        <v>#VALUE!</v>
      </c>
      <c r="K98" s="32" t="e">
        <f t="shared" si="62"/>
        <v>#VALUE!</v>
      </c>
      <c r="L98" s="32" t="e">
        <f t="shared" si="62"/>
        <v>#VALUE!</v>
      </c>
      <c r="M98" s="32" t="e">
        <f t="shared" si="62"/>
        <v>#VALUE!</v>
      </c>
      <c r="N98" s="32">
        <f t="shared" si="62"/>
        <v>37</v>
      </c>
      <c r="O98" s="32">
        <f t="shared" si="62"/>
        <v>37</v>
      </c>
      <c r="P98" s="32">
        <f t="shared" si="62"/>
        <v>37</v>
      </c>
      <c r="Q98" s="32">
        <f t="shared" si="62"/>
        <v>37</v>
      </c>
      <c r="R98" s="32">
        <f t="shared" si="62"/>
        <v>39</v>
      </c>
      <c r="S98" s="32" t="e">
        <f t="shared" si="62"/>
        <v>#VALUE!</v>
      </c>
      <c r="T98" s="32">
        <f t="shared" si="62"/>
        <v>42</v>
      </c>
    </row>
    <row r="99" spans="2:20">
      <c r="B99" s="32" t="e">
        <f t="shared" ref="B99:T99" si="63">RANK(B48,B$5:B$50)</f>
        <v>#VALUE!</v>
      </c>
      <c r="C99" s="32" t="e">
        <f t="shared" si="63"/>
        <v>#VALUE!</v>
      </c>
      <c r="D99" s="32" t="e">
        <f t="shared" si="63"/>
        <v>#VALUE!</v>
      </c>
      <c r="E99" s="32" t="e">
        <f t="shared" si="63"/>
        <v>#VALUE!</v>
      </c>
      <c r="F99" s="32">
        <f t="shared" si="63"/>
        <v>34</v>
      </c>
      <c r="G99" s="32">
        <f t="shared" si="63"/>
        <v>34</v>
      </c>
      <c r="H99" s="32" t="e">
        <f t="shared" si="63"/>
        <v>#VALUE!</v>
      </c>
      <c r="I99" s="32" t="e">
        <f t="shared" si="63"/>
        <v>#VALUE!</v>
      </c>
      <c r="J99" s="32">
        <f t="shared" si="63"/>
        <v>35</v>
      </c>
      <c r="K99" s="32">
        <f t="shared" si="63"/>
        <v>35</v>
      </c>
      <c r="L99" s="32" t="e">
        <f t="shared" si="63"/>
        <v>#VALUE!</v>
      </c>
      <c r="M99" s="32" t="e">
        <f t="shared" si="63"/>
        <v>#VALUE!</v>
      </c>
      <c r="N99" s="32">
        <f t="shared" si="63"/>
        <v>35</v>
      </c>
      <c r="O99" s="32">
        <f t="shared" si="63"/>
        <v>35</v>
      </c>
      <c r="P99" s="32">
        <f t="shared" si="63"/>
        <v>37</v>
      </c>
      <c r="Q99" s="32">
        <f t="shared" si="63"/>
        <v>37</v>
      </c>
      <c r="R99" s="32">
        <f t="shared" si="63"/>
        <v>39</v>
      </c>
      <c r="S99" s="32" t="e">
        <f t="shared" si="63"/>
        <v>#VALUE!</v>
      </c>
      <c r="T99" s="32">
        <f t="shared" si="63"/>
        <v>42</v>
      </c>
    </row>
    <row r="100" spans="2:20">
      <c r="B100" s="32" t="e">
        <f t="shared" ref="B100:T100" si="64">RANK(B49,B$5:B$50)</f>
        <v>#VALUE!</v>
      </c>
      <c r="C100" s="32" t="e">
        <f t="shared" si="64"/>
        <v>#VALUE!</v>
      </c>
      <c r="D100" s="32" t="e">
        <f t="shared" si="64"/>
        <v>#VALUE!</v>
      </c>
      <c r="E100" s="32" t="e">
        <f t="shared" si="64"/>
        <v>#VALUE!</v>
      </c>
      <c r="F100" s="32" t="e">
        <f t="shared" si="64"/>
        <v>#VALUE!</v>
      </c>
      <c r="G100" s="32" t="e">
        <f t="shared" si="64"/>
        <v>#VALUE!</v>
      </c>
      <c r="H100" s="32">
        <f t="shared" si="64"/>
        <v>33</v>
      </c>
      <c r="I100" s="32">
        <f t="shared" si="64"/>
        <v>33</v>
      </c>
      <c r="J100" s="32" t="e">
        <f t="shared" si="64"/>
        <v>#VALUE!</v>
      </c>
      <c r="K100" s="32" t="e">
        <f t="shared" si="64"/>
        <v>#VALUE!</v>
      </c>
      <c r="L100" s="32" t="e">
        <f t="shared" si="64"/>
        <v>#VALUE!</v>
      </c>
      <c r="M100" s="32" t="e">
        <f t="shared" si="64"/>
        <v>#VALUE!</v>
      </c>
      <c r="N100" s="32" t="e">
        <f t="shared" si="64"/>
        <v>#VALUE!</v>
      </c>
      <c r="O100" s="32" t="e">
        <f t="shared" si="64"/>
        <v>#VALUE!</v>
      </c>
      <c r="P100" s="32" t="e">
        <f t="shared" si="64"/>
        <v>#VALUE!</v>
      </c>
      <c r="Q100" s="32" t="e">
        <f t="shared" si="64"/>
        <v>#VALUE!</v>
      </c>
      <c r="R100" s="32" t="e">
        <f t="shared" si="64"/>
        <v>#VALUE!</v>
      </c>
      <c r="S100" s="32" t="e">
        <f t="shared" si="64"/>
        <v>#VALUE!</v>
      </c>
      <c r="T100" s="32">
        <f t="shared" si="64"/>
        <v>42</v>
      </c>
    </row>
    <row r="101" spans="2:20">
      <c r="B101" s="32">
        <f t="shared" ref="B101:T101" si="65">RANK(B50,B$5:B$50)</f>
        <v>36</v>
      </c>
      <c r="C101" s="32">
        <f t="shared" si="65"/>
        <v>36</v>
      </c>
      <c r="D101" s="32">
        <f t="shared" si="65"/>
        <v>37</v>
      </c>
      <c r="E101" s="32">
        <f t="shared" si="65"/>
        <v>37</v>
      </c>
      <c r="F101" s="32">
        <f t="shared" si="65"/>
        <v>39</v>
      </c>
      <c r="G101" s="32">
        <f t="shared" si="65"/>
        <v>39</v>
      </c>
      <c r="H101" s="32" t="e">
        <f t="shared" si="65"/>
        <v>#VALUE!</v>
      </c>
      <c r="I101" s="32" t="e">
        <f t="shared" si="65"/>
        <v>#VALUE!</v>
      </c>
      <c r="J101" s="32">
        <f t="shared" si="65"/>
        <v>35</v>
      </c>
      <c r="K101" s="32">
        <f t="shared" si="65"/>
        <v>35</v>
      </c>
      <c r="L101" s="32">
        <f t="shared" si="65"/>
        <v>32</v>
      </c>
      <c r="M101" s="32">
        <f t="shared" si="65"/>
        <v>32</v>
      </c>
      <c r="N101" s="32" t="e">
        <f t="shared" si="65"/>
        <v>#VALUE!</v>
      </c>
      <c r="O101" s="32" t="e">
        <f t="shared" si="65"/>
        <v>#VALUE!</v>
      </c>
      <c r="P101" s="32" t="e">
        <f t="shared" si="65"/>
        <v>#VALUE!</v>
      </c>
      <c r="Q101" s="32" t="e">
        <f t="shared" si="65"/>
        <v>#VALUE!</v>
      </c>
      <c r="R101" s="32" t="e">
        <f t="shared" si="65"/>
        <v>#VALUE!</v>
      </c>
      <c r="S101" s="32" t="e">
        <f t="shared" si="65"/>
        <v>#VALUE!</v>
      </c>
      <c r="T101" s="32">
        <f t="shared" si="65"/>
        <v>42</v>
      </c>
    </row>
    <row r="102" spans="2:20">
      <c r="B102" s="32" t="e">
        <f t="shared" ref="B102:T102" si="66">RANK(B51,B$5:B$50)</f>
        <v>#N/A</v>
      </c>
      <c r="C102" s="32" t="e">
        <f t="shared" si="66"/>
        <v>#N/A</v>
      </c>
      <c r="D102" s="32" t="e">
        <f t="shared" si="66"/>
        <v>#N/A</v>
      </c>
      <c r="E102" s="32" t="e">
        <f t="shared" si="66"/>
        <v>#N/A</v>
      </c>
      <c r="F102" s="32" t="e">
        <f t="shared" si="66"/>
        <v>#N/A</v>
      </c>
      <c r="G102" s="32" t="e">
        <f t="shared" si="66"/>
        <v>#N/A</v>
      </c>
      <c r="H102" s="32" t="e">
        <f t="shared" si="66"/>
        <v>#N/A</v>
      </c>
      <c r="I102" s="32" t="e">
        <f t="shared" si="66"/>
        <v>#N/A</v>
      </c>
      <c r="J102" s="32" t="e">
        <f t="shared" si="66"/>
        <v>#N/A</v>
      </c>
      <c r="K102" s="32" t="e">
        <f t="shared" si="66"/>
        <v>#N/A</v>
      </c>
      <c r="L102" s="32" t="e">
        <f t="shared" si="66"/>
        <v>#N/A</v>
      </c>
      <c r="M102" s="32" t="e">
        <f t="shared" si="66"/>
        <v>#N/A</v>
      </c>
      <c r="N102" s="32" t="e">
        <f t="shared" si="66"/>
        <v>#N/A</v>
      </c>
      <c r="O102" s="32" t="e">
        <f t="shared" si="66"/>
        <v>#N/A</v>
      </c>
      <c r="P102" s="32" t="e">
        <f t="shared" si="66"/>
        <v>#N/A</v>
      </c>
      <c r="Q102" s="32" t="e">
        <f t="shared" si="66"/>
        <v>#N/A</v>
      </c>
      <c r="R102" s="32" t="e">
        <f t="shared" si="66"/>
        <v>#N/A</v>
      </c>
      <c r="S102" s="32" t="e">
        <f t="shared" si="66"/>
        <v>#N/A</v>
      </c>
      <c r="T102" s="32" t="e">
        <f t="shared" si="66"/>
        <v>#N/A</v>
      </c>
    </row>
  </sheetData>
  <sortState ref="A5:U43">
    <sortCondition descending="1" ref="T5:T43"/>
  </sortState>
  <mergeCells count="14">
    <mergeCell ref="J2:K2"/>
    <mergeCell ref="A52:U52"/>
    <mergeCell ref="A53:U53"/>
    <mergeCell ref="A1:U1"/>
    <mergeCell ref="H2:I2"/>
    <mergeCell ref="F2:G2"/>
    <mergeCell ref="D2:E2"/>
    <mergeCell ref="B2:C2"/>
    <mergeCell ref="T2:U2"/>
    <mergeCell ref="V1:W1"/>
    <mergeCell ref="R2:S2"/>
    <mergeCell ref="P2:Q2"/>
    <mergeCell ref="N2:O2"/>
    <mergeCell ref="L2:M2"/>
  </mergeCells>
  <phoneticPr fontId="2" type="noConversion"/>
  <conditionalFormatting sqref="B56:T79">
    <cfRule type="cellIs" dxfId="6" priority="1" operator="equal">
      <formula>2</formula>
    </cfRule>
    <cfRule type="cellIs" dxfId="5" priority="2" operator="equal">
      <formula>1</formula>
    </cfRule>
  </conditionalFormatting>
  <hyperlinks>
    <hyperlink ref="V1" location="本篇表次!A1" display="回本篇表次"/>
  </hyperlinks>
  <printOptions horizontalCentered="1" verticalCentered="1"/>
  <pageMargins left="0.74803149606299213" right="0.74803149606299213" top="0.74803149606299213" bottom="0.74803149606299213" header="0.51181102362204722" footer="0.51181102362204722"/>
  <pageSetup paperSize="224" scale="41"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G23"/>
  <sheetViews>
    <sheetView showGridLines="0" zoomScale="120" zoomScaleNormal="120" workbookViewId="0">
      <pane xSplit="2" ySplit="3" topLeftCell="C7" activePane="bottomRight" state="frozen"/>
      <selection sqref="A1:AE1"/>
      <selection pane="topRight" sqref="A1:AE1"/>
      <selection pane="bottomLeft" sqref="A1:AE1"/>
      <selection pane="bottomRight" sqref="A1:AE1"/>
    </sheetView>
  </sheetViews>
  <sheetFormatPr defaultColWidth="8.5" defaultRowHeight="16.5"/>
  <cols>
    <col min="1" max="1" width="18.375" bestFit="1" customWidth="1"/>
    <col min="2" max="2" width="5" bestFit="1" customWidth="1"/>
    <col min="3" max="32" width="8.125" customWidth="1"/>
    <col min="33" max="33" width="12.625" bestFit="1" customWidth="1"/>
  </cols>
  <sheetData>
    <row r="1" spans="1:33" ht="30" customHeight="1">
      <c r="A1" s="543" t="s">
        <v>754</v>
      </c>
      <c r="B1" s="543"/>
      <c r="C1" s="543"/>
      <c r="D1" s="543"/>
      <c r="E1" s="543"/>
      <c r="F1" s="543"/>
      <c r="G1" s="543"/>
      <c r="H1" s="543"/>
      <c r="I1" s="543"/>
      <c r="J1" s="543"/>
      <c r="K1" s="543"/>
      <c r="L1" s="543"/>
      <c r="M1" s="543"/>
      <c r="N1" s="543"/>
      <c r="O1" s="543"/>
      <c r="P1" s="543"/>
      <c r="Q1" s="543"/>
      <c r="R1" s="543"/>
      <c r="S1" s="543"/>
      <c r="T1" s="543"/>
      <c r="U1" s="543"/>
      <c r="V1" s="543"/>
      <c r="W1" s="543"/>
      <c r="X1" s="543"/>
      <c r="Y1" s="543"/>
      <c r="Z1" s="543"/>
      <c r="AA1" s="543"/>
      <c r="AB1" s="543"/>
      <c r="AC1" s="543"/>
      <c r="AD1" s="544"/>
      <c r="AE1" s="544"/>
      <c r="AF1" s="544"/>
      <c r="AG1" s="242" t="s">
        <v>548</v>
      </c>
    </row>
    <row r="2" spans="1:33" ht="30" customHeight="1">
      <c r="A2" s="528"/>
      <c r="B2" s="528"/>
      <c r="C2" s="529" t="s">
        <v>739</v>
      </c>
      <c r="D2" s="529"/>
      <c r="E2" s="529"/>
      <c r="F2" s="529" t="s">
        <v>740</v>
      </c>
      <c r="G2" s="529"/>
      <c r="H2" s="529"/>
      <c r="I2" s="529" t="s">
        <v>741</v>
      </c>
      <c r="J2" s="529"/>
      <c r="K2" s="529"/>
      <c r="L2" s="529" t="s">
        <v>742</v>
      </c>
      <c r="M2" s="529"/>
      <c r="N2" s="529"/>
      <c r="O2" s="529" t="s">
        <v>743</v>
      </c>
      <c r="P2" s="529"/>
      <c r="Q2" s="529"/>
      <c r="R2" s="529" t="s">
        <v>375</v>
      </c>
      <c r="S2" s="529"/>
      <c r="T2" s="529"/>
      <c r="U2" s="529" t="s">
        <v>163</v>
      </c>
      <c r="V2" s="529"/>
      <c r="W2" s="529"/>
      <c r="X2" s="529" t="s">
        <v>388</v>
      </c>
      <c r="Y2" s="529"/>
      <c r="Z2" s="529"/>
      <c r="AA2" s="529" t="s">
        <v>45</v>
      </c>
      <c r="AB2" s="529"/>
      <c r="AC2" s="529"/>
      <c r="AD2" s="529" t="s">
        <v>619</v>
      </c>
      <c r="AE2" s="529"/>
      <c r="AF2" s="529"/>
    </row>
    <row r="3" spans="1:33" ht="30" customHeight="1">
      <c r="A3" s="526"/>
      <c r="B3" s="526"/>
      <c r="C3" s="162" t="s">
        <v>402</v>
      </c>
      <c r="D3" s="169" t="s">
        <v>401</v>
      </c>
      <c r="E3" s="169" t="s">
        <v>400</v>
      </c>
      <c r="F3" s="162" t="s">
        <v>402</v>
      </c>
      <c r="G3" s="169" t="s">
        <v>401</v>
      </c>
      <c r="H3" s="169" t="s">
        <v>400</v>
      </c>
      <c r="I3" s="162" t="s">
        <v>402</v>
      </c>
      <c r="J3" s="169" t="s">
        <v>401</v>
      </c>
      <c r="K3" s="169" t="s">
        <v>400</v>
      </c>
      <c r="L3" s="162" t="s">
        <v>402</v>
      </c>
      <c r="M3" s="169" t="s">
        <v>401</v>
      </c>
      <c r="N3" s="169" t="s">
        <v>400</v>
      </c>
      <c r="O3" s="162" t="s">
        <v>402</v>
      </c>
      <c r="P3" s="169" t="s">
        <v>401</v>
      </c>
      <c r="Q3" s="169" t="s">
        <v>400</v>
      </c>
      <c r="R3" s="162" t="s">
        <v>402</v>
      </c>
      <c r="S3" s="169" t="s">
        <v>401</v>
      </c>
      <c r="T3" s="169" t="s">
        <v>400</v>
      </c>
      <c r="U3" s="162" t="s">
        <v>402</v>
      </c>
      <c r="V3" s="169" t="s">
        <v>401</v>
      </c>
      <c r="W3" s="169" t="s">
        <v>400</v>
      </c>
      <c r="X3" s="162" t="s">
        <v>402</v>
      </c>
      <c r="Y3" s="169" t="s">
        <v>401</v>
      </c>
      <c r="Z3" s="169" t="s">
        <v>400</v>
      </c>
      <c r="AA3" s="162" t="s">
        <v>402</v>
      </c>
      <c r="AB3" s="169" t="s">
        <v>401</v>
      </c>
      <c r="AC3" s="169" t="s">
        <v>400</v>
      </c>
      <c r="AD3" s="162" t="s">
        <v>402</v>
      </c>
      <c r="AE3" s="169" t="s">
        <v>401</v>
      </c>
      <c r="AF3" s="169" t="s">
        <v>400</v>
      </c>
    </row>
    <row r="4" spans="1:33" ht="21" customHeight="1">
      <c r="A4" s="526" t="s">
        <v>399</v>
      </c>
      <c r="B4" s="175" t="s">
        <v>390</v>
      </c>
      <c r="C4" s="320">
        <v>786</v>
      </c>
      <c r="D4" s="320">
        <v>683</v>
      </c>
      <c r="E4" s="320">
        <v>103</v>
      </c>
      <c r="F4" s="320">
        <v>825</v>
      </c>
      <c r="G4" s="320">
        <v>724</v>
      </c>
      <c r="H4" s="320">
        <v>101</v>
      </c>
      <c r="I4" s="320">
        <v>833</v>
      </c>
      <c r="J4" s="320">
        <v>709</v>
      </c>
      <c r="K4" s="320">
        <v>124</v>
      </c>
      <c r="L4" s="320">
        <v>738</v>
      </c>
      <c r="M4" s="320">
        <v>636</v>
      </c>
      <c r="N4" s="320">
        <v>102</v>
      </c>
      <c r="O4" s="320">
        <v>475</v>
      </c>
      <c r="P4" s="320">
        <v>420</v>
      </c>
      <c r="Q4" s="320">
        <v>55</v>
      </c>
      <c r="R4" s="315">
        <f t="shared" ref="R4:AC4" si="0">SUM(R6,R8,R10,R12,R14,R16,R18,R20)</f>
        <v>473</v>
      </c>
      <c r="S4" s="315">
        <f t="shared" si="0"/>
        <v>402</v>
      </c>
      <c r="T4" s="315">
        <f t="shared" si="0"/>
        <v>71</v>
      </c>
      <c r="U4" s="315">
        <f t="shared" si="0"/>
        <v>475</v>
      </c>
      <c r="V4" s="315">
        <f t="shared" si="0"/>
        <v>430</v>
      </c>
      <c r="W4" s="315">
        <f t="shared" si="0"/>
        <v>45</v>
      </c>
      <c r="X4" s="315">
        <f t="shared" si="0"/>
        <v>362</v>
      </c>
      <c r="Y4" s="315">
        <f t="shared" si="0"/>
        <v>331</v>
      </c>
      <c r="Z4" s="316">
        <f t="shared" si="0"/>
        <v>31</v>
      </c>
      <c r="AA4" s="315">
        <f>SUM(AA6,AA8,AA10,AA12,AA14,AA16,AA18,AA20)</f>
        <v>405</v>
      </c>
      <c r="AB4" s="315">
        <f t="shared" si="0"/>
        <v>378</v>
      </c>
      <c r="AC4" s="316">
        <f t="shared" si="0"/>
        <v>27</v>
      </c>
      <c r="AD4" s="315">
        <f>SUM(AD6,AD8,AD10,AD12,AD14,AD16,AD18,AD20)</f>
        <v>408</v>
      </c>
      <c r="AE4" s="315">
        <f>SUM(AE6,AE8,AE10,AE12,AE14,AE16,AE18,AE20)</f>
        <v>377</v>
      </c>
      <c r="AF4" s="316">
        <f>SUM(AF6,AF8,AF10,AF12,AF14,AF16,AF18,AF20)</f>
        <v>31</v>
      </c>
    </row>
    <row r="5" spans="1:33" ht="21" customHeight="1">
      <c r="A5" s="526"/>
      <c r="B5" s="177" t="s">
        <v>75</v>
      </c>
      <c r="C5" s="321">
        <v>100</v>
      </c>
      <c r="D5" s="321">
        <v>100</v>
      </c>
      <c r="E5" s="321">
        <v>100</v>
      </c>
      <c r="F5" s="321">
        <v>100</v>
      </c>
      <c r="G5" s="321">
        <v>100</v>
      </c>
      <c r="H5" s="321">
        <v>100</v>
      </c>
      <c r="I5" s="321">
        <v>100</v>
      </c>
      <c r="J5" s="321">
        <v>100</v>
      </c>
      <c r="K5" s="321">
        <v>100</v>
      </c>
      <c r="L5" s="321">
        <v>100</v>
      </c>
      <c r="M5" s="321">
        <v>100</v>
      </c>
      <c r="N5" s="321">
        <v>100</v>
      </c>
      <c r="O5" s="321">
        <v>100</v>
      </c>
      <c r="P5" s="321">
        <v>100</v>
      </c>
      <c r="Q5" s="321">
        <v>100</v>
      </c>
      <c r="R5" s="317">
        <f t="shared" ref="R5:AF5" si="1">SUM(R7,R9,R11,R13,R15,R17,R19,R21)</f>
        <v>100</v>
      </c>
      <c r="S5" s="317">
        <f t="shared" si="1"/>
        <v>100</v>
      </c>
      <c r="T5" s="317">
        <f t="shared" si="1"/>
        <v>100</v>
      </c>
      <c r="U5" s="317">
        <f t="shared" si="1"/>
        <v>100</v>
      </c>
      <c r="V5" s="317">
        <f t="shared" si="1"/>
        <v>100</v>
      </c>
      <c r="W5" s="317">
        <f t="shared" si="1"/>
        <v>99.999999999999986</v>
      </c>
      <c r="X5" s="317">
        <f t="shared" si="1"/>
        <v>100</v>
      </c>
      <c r="Y5" s="317">
        <f t="shared" si="1"/>
        <v>100</v>
      </c>
      <c r="Z5" s="317">
        <f t="shared" si="1"/>
        <v>100</v>
      </c>
      <c r="AA5" s="317">
        <f t="shared" si="1"/>
        <v>100</v>
      </c>
      <c r="AB5" s="317">
        <f t="shared" si="1"/>
        <v>99.999999999999986</v>
      </c>
      <c r="AC5" s="317">
        <f t="shared" si="1"/>
        <v>100</v>
      </c>
      <c r="AD5" s="317">
        <f t="shared" si="1"/>
        <v>100</v>
      </c>
      <c r="AE5" s="317">
        <f t="shared" si="1"/>
        <v>100</v>
      </c>
      <c r="AF5" s="317">
        <f t="shared" si="1"/>
        <v>99.999999999999986</v>
      </c>
    </row>
    <row r="6" spans="1:33" ht="21" customHeight="1">
      <c r="A6" s="526" t="s">
        <v>398</v>
      </c>
      <c r="B6" s="175" t="s">
        <v>390</v>
      </c>
      <c r="C6" s="320">
        <v>1</v>
      </c>
      <c r="D6" s="320">
        <v>1</v>
      </c>
      <c r="E6" s="320">
        <v>0</v>
      </c>
      <c r="F6" s="320">
        <v>0</v>
      </c>
      <c r="G6" s="320">
        <v>0</v>
      </c>
      <c r="H6" s="320">
        <v>0</v>
      </c>
      <c r="I6" s="320">
        <v>0</v>
      </c>
      <c r="J6" s="320">
        <v>0</v>
      </c>
      <c r="K6" s="320">
        <v>0</v>
      </c>
      <c r="L6" s="320">
        <v>0</v>
      </c>
      <c r="M6" s="320">
        <v>0</v>
      </c>
      <c r="N6" s="320">
        <v>0</v>
      </c>
      <c r="O6" s="320">
        <v>0</v>
      </c>
      <c r="P6" s="320">
        <v>0</v>
      </c>
      <c r="Q6" s="320">
        <v>0</v>
      </c>
      <c r="R6" s="315" t="s">
        <v>49</v>
      </c>
      <c r="S6" s="315" t="s">
        <v>49</v>
      </c>
      <c r="T6" s="315" t="s">
        <v>49</v>
      </c>
      <c r="U6" s="315" t="s">
        <v>49</v>
      </c>
      <c r="V6" s="315" t="s">
        <v>49</v>
      </c>
      <c r="W6" s="315" t="s">
        <v>49</v>
      </c>
      <c r="X6" s="315" t="s">
        <v>49</v>
      </c>
      <c r="Y6" s="315" t="s">
        <v>49</v>
      </c>
      <c r="Z6" s="315" t="s">
        <v>49</v>
      </c>
      <c r="AA6" s="315" t="s">
        <v>49</v>
      </c>
      <c r="AB6" s="315" t="s">
        <v>49</v>
      </c>
      <c r="AC6" s="315" t="s">
        <v>49</v>
      </c>
      <c r="AD6" s="315" t="s">
        <v>49</v>
      </c>
      <c r="AE6" s="315" t="s">
        <v>49</v>
      </c>
      <c r="AF6" s="315" t="s">
        <v>49</v>
      </c>
    </row>
    <row r="7" spans="1:33" ht="21" customHeight="1">
      <c r="A7" s="526"/>
      <c r="B7" s="177" t="s">
        <v>75</v>
      </c>
      <c r="C7" s="321">
        <v>0.1272264631043257</v>
      </c>
      <c r="D7" s="321">
        <v>0.14641288433382138</v>
      </c>
      <c r="E7" s="320">
        <v>0</v>
      </c>
      <c r="F7" s="320">
        <v>0</v>
      </c>
      <c r="G7" s="320">
        <v>0</v>
      </c>
      <c r="H7" s="320">
        <v>0</v>
      </c>
      <c r="I7" s="320">
        <v>0</v>
      </c>
      <c r="J7" s="320">
        <v>0</v>
      </c>
      <c r="K7" s="320">
        <v>0</v>
      </c>
      <c r="L7" s="320">
        <v>0</v>
      </c>
      <c r="M7" s="320">
        <v>0</v>
      </c>
      <c r="N7" s="320">
        <v>0</v>
      </c>
      <c r="O7" s="320">
        <v>0</v>
      </c>
      <c r="P7" s="320">
        <v>0</v>
      </c>
      <c r="Q7" s="320">
        <v>0</v>
      </c>
      <c r="R7" s="317" t="str">
        <f t="shared" ref="R7:AF7" si="2">IFERROR(R6/R$4*100,"-")</f>
        <v>-</v>
      </c>
      <c r="S7" s="317" t="str">
        <f t="shared" si="2"/>
        <v>-</v>
      </c>
      <c r="T7" s="317" t="str">
        <f t="shared" si="2"/>
        <v>-</v>
      </c>
      <c r="U7" s="317" t="str">
        <f t="shared" si="2"/>
        <v>-</v>
      </c>
      <c r="V7" s="317" t="str">
        <f t="shared" si="2"/>
        <v>-</v>
      </c>
      <c r="W7" s="317" t="str">
        <f t="shared" si="2"/>
        <v>-</v>
      </c>
      <c r="X7" s="317" t="str">
        <f t="shared" si="2"/>
        <v>-</v>
      </c>
      <c r="Y7" s="317" t="str">
        <f t="shared" si="2"/>
        <v>-</v>
      </c>
      <c r="Z7" s="317" t="str">
        <f t="shared" si="2"/>
        <v>-</v>
      </c>
      <c r="AA7" s="317" t="str">
        <f t="shared" si="2"/>
        <v>-</v>
      </c>
      <c r="AB7" s="317" t="str">
        <f t="shared" si="2"/>
        <v>-</v>
      </c>
      <c r="AC7" s="317" t="str">
        <f t="shared" si="2"/>
        <v>-</v>
      </c>
      <c r="AD7" s="317" t="str">
        <f t="shared" si="2"/>
        <v>-</v>
      </c>
      <c r="AE7" s="317" t="str">
        <f t="shared" si="2"/>
        <v>-</v>
      </c>
      <c r="AF7" s="317" t="str">
        <f t="shared" si="2"/>
        <v>-</v>
      </c>
    </row>
    <row r="8" spans="1:33" ht="21" customHeight="1">
      <c r="A8" s="526" t="s">
        <v>397</v>
      </c>
      <c r="B8" s="175" t="s">
        <v>390</v>
      </c>
      <c r="C8" s="320">
        <v>2</v>
      </c>
      <c r="D8" s="320">
        <v>1</v>
      </c>
      <c r="E8" s="320">
        <v>1</v>
      </c>
      <c r="F8" s="320">
        <v>0</v>
      </c>
      <c r="G8" s="320">
        <v>0</v>
      </c>
      <c r="H8" s="320">
        <v>0</v>
      </c>
      <c r="I8" s="320">
        <v>1</v>
      </c>
      <c r="J8" s="320">
        <v>1</v>
      </c>
      <c r="K8" s="320">
        <v>0</v>
      </c>
      <c r="L8" s="320">
        <v>2</v>
      </c>
      <c r="M8" s="320">
        <v>2</v>
      </c>
      <c r="N8" s="320">
        <v>0</v>
      </c>
      <c r="O8" s="320">
        <v>0</v>
      </c>
      <c r="P8" s="320">
        <v>0</v>
      </c>
      <c r="Q8" s="320">
        <v>0</v>
      </c>
      <c r="R8" s="320">
        <v>0</v>
      </c>
      <c r="S8" s="320">
        <v>0</v>
      </c>
      <c r="T8" s="320">
        <v>0</v>
      </c>
      <c r="U8" s="320">
        <v>0</v>
      </c>
      <c r="V8" s="315" t="s">
        <v>49</v>
      </c>
      <c r="W8" s="315" t="s">
        <v>49</v>
      </c>
      <c r="X8" s="315" t="s">
        <v>49</v>
      </c>
      <c r="Y8" s="315" t="s">
        <v>49</v>
      </c>
      <c r="Z8" s="315" t="s">
        <v>49</v>
      </c>
      <c r="AA8" s="315" t="s">
        <v>49</v>
      </c>
      <c r="AB8" s="315" t="s">
        <v>49</v>
      </c>
      <c r="AC8" s="315" t="s">
        <v>49</v>
      </c>
      <c r="AD8" s="315" t="s">
        <v>49</v>
      </c>
      <c r="AE8" s="315" t="s">
        <v>49</v>
      </c>
      <c r="AF8" s="315" t="s">
        <v>49</v>
      </c>
    </row>
    <row r="9" spans="1:33" ht="21" customHeight="1">
      <c r="A9" s="526"/>
      <c r="B9" s="177" t="s">
        <v>75</v>
      </c>
      <c r="C9" s="321">
        <v>0.2544529262086514</v>
      </c>
      <c r="D9" s="321">
        <v>0.14641288433382138</v>
      </c>
      <c r="E9" s="321">
        <v>0.97087378640776689</v>
      </c>
      <c r="F9" s="320">
        <v>0</v>
      </c>
      <c r="G9" s="320">
        <v>0</v>
      </c>
      <c r="H9" s="320">
        <v>0</v>
      </c>
      <c r="I9" s="321">
        <v>0.12004801920768307</v>
      </c>
      <c r="J9" s="321">
        <v>0.14104372355430184</v>
      </c>
      <c r="K9" s="320">
        <v>0</v>
      </c>
      <c r="L9" s="321">
        <v>0.27100271002710025</v>
      </c>
      <c r="M9" s="321">
        <v>0.31446540880503149</v>
      </c>
      <c r="N9" s="320">
        <v>0</v>
      </c>
      <c r="O9" s="320">
        <v>0</v>
      </c>
      <c r="P9" s="320">
        <v>0</v>
      </c>
      <c r="Q9" s="320">
        <v>0</v>
      </c>
      <c r="R9" s="320">
        <v>0</v>
      </c>
      <c r="S9" s="320">
        <v>0</v>
      </c>
      <c r="T9" s="320">
        <v>0</v>
      </c>
      <c r="U9" s="320">
        <v>0</v>
      </c>
      <c r="V9" s="317" t="str">
        <f t="shared" ref="V9:AF9" si="3">IFERROR(V8/V$4*100,"-")</f>
        <v>-</v>
      </c>
      <c r="W9" s="317" t="str">
        <f t="shared" si="3"/>
        <v>-</v>
      </c>
      <c r="X9" s="317" t="str">
        <f t="shared" si="3"/>
        <v>-</v>
      </c>
      <c r="Y9" s="317" t="str">
        <f t="shared" si="3"/>
        <v>-</v>
      </c>
      <c r="Z9" s="317" t="str">
        <f t="shared" si="3"/>
        <v>-</v>
      </c>
      <c r="AA9" s="317" t="str">
        <f t="shared" si="3"/>
        <v>-</v>
      </c>
      <c r="AB9" s="317" t="str">
        <f t="shared" si="3"/>
        <v>-</v>
      </c>
      <c r="AC9" s="317" t="str">
        <f t="shared" si="3"/>
        <v>-</v>
      </c>
      <c r="AD9" s="317" t="str">
        <f t="shared" si="3"/>
        <v>-</v>
      </c>
      <c r="AE9" s="317" t="str">
        <f t="shared" si="3"/>
        <v>-</v>
      </c>
      <c r="AF9" s="317" t="str">
        <f t="shared" si="3"/>
        <v>-</v>
      </c>
    </row>
    <row r="10" spans="1:33" ht="21" customHeight="1">
      <c r="A10" s="526" t="s">
        <v>396</v>
      </c>
      <c r="B10" s="175" t="s">
        <v>390</v>
      </c>
      <c r="C10" s="320">
        <v>15</v>
      </c>
      <c r="D10" s="320">
        <v>12</v>
      </c>
      <c r="E10" s="320">
        <v>3</v>
      </c>
      <c r="F10" s="320">
        <v>11</v>
      </c>
      <c r="G10" s="320">
        <v>10</v>
      </c>
      <c r="H10" s="320">
        <v>1</v>
      </c>
      <c r="I10" s="320">
        <v>16</v>
      </c>
      <c r="J10" s="320">
        <v>14</v>
      </c>
      <c r="K10" s="320">
        <v>2</v>
      </c>
      <c r="L10" s="320">
        <v>8</v>
      </c>
      <c r="M10" s="320">
        <v>7</v>
      </c>
      <c r="N10" s="320">
        <v>1</v>
      </c>
      <c r="O10" s="320">
        <v>3</v>
      </c>
      <c r="P10" s="320">
        <v>3</v>
      </c>
      <c r="Q10" s="320">
        <v>0</v>
      </c>
      <c r="R10" s="315">
        <v>1</v>
      </c>
      <c r="S10" s="315">
        <v>1</v>
      </c>
      <c r="T10" s="315" t="s">
        <v>49</v>
      </c>
      <c r="U10" s="315">
        <v>1</v>
      </c>
      <c r="V10" s="315">
        <v>1</v>
      </c>
      <c r="W10" s="315" t="s">
        <v>49</v>
      </c>
      <c r="X10" s="315">
        <v>3</v>
      </c>
      <c r="Y10" s="315">
        <v>2</v>
      </c>
      <c r="Z10" s="315">
        <v>1</v>
      </c>
      <c r="AA10" s="315">
        <v>2</v>
      </c>
      <c r="AB10" s="315">
        <v>2</v>
      </c>
      <c r="AC10" s="315">
        <v>0</v>
      </c>
      <c r="AD10" s="315">
        <v>4</v>
      </c>
      <c r="AE10" s="315">
        <v>3</v>
      </c>
      <c r="AF10" s="315">
        <v>1</v>
      </c>
    </row>
    <row r="11" spans="1:33" ht="21" customHeight="1">
      <c r="A11" s="526"/>
      <c r="B11" s="177" t="s">
        <v>75</v>
      </c>
      <c r="C11" s="321">
        <v>1.9083969465648856</v>
      </c>
      <c r="D11" s="321">
        <v>1.7569546120058566</v>
      </c>
      <c r="E11" s="321">
        <v>2.912621359223301</v>
      </c>
      <c r="F11" s="321">
        <v>1.3333333333333335</v>
      </c>
      <c r="G11" s="321">
        <v>1.3812154696132597</v>
      </c>
      <c r="H11" s="321">
        <v>0.99009900990099009</v>
      </c>
      <c r="I11" s="321">
        <v>1.9207683073229291</v>
      </c>
      <c r="J11" s="321">
        <v>1.9746121297602257</v>
      </c>
      <c r="K11" s="321">
        <v>1.6129032258064515</v>
      </c>
      <c r="L11" s="321">
        <v>1.084010840108401</v>
      </c>
      <c r="M11" s="321">
        <v>1.10062893081761</v>
      </c>
      <c r="N11" s="321">
        <v>0.98039215686274506</v>
      </c>
      <c r="O11" s="321">
        <v>0.63157894736842102</v>
      </c>
      <c r="P11" s="321">
        <v>0.7142857142857143</v>
      </c>
      <c r="Q11" s="320">
        <v>0</v>
      </c>
      <c r="R11" s="317">
        <f t="shared" ref="R11:AB11" si="4">IFERROR(R10/R$4*100,"-")</f>
        <v>0.21141649048625794</v>
      </c>
      <c r="S11" s="317">
        <f t="shared" si="4"/>
        <v>0.24875621890547264</v>
      </c>
      <c r="T11" s="317" t="str">
        <f t="shared" si="4"/>
        <v>-</v>
      </c>
      <c r="U11" s="317">
        <f t="shared" si="4"/>
        <v>0.21052631578947367</v>
      </c>
      <c r="V11" s="317">
        <f t="shared" si="4"/>
        <v>0.23255813953488372</v>
      </c>
      <c r="W11" s="317" t="str">
        <f t="shared" si="4"/>
        <v>-</v>
      </c>
      <c r="X11" s="317">
        <f t="shared" si="4"/>
        <v>0.82872928176795579</v>
      </c>
      <c r="Y11" s="317">
        <f t="shared" si="4"/>
        <v>0.60422960725075525</v>
      </c>
      <c r="Z11" s="317">
        <f t="shared" si="4"/>
        <v>3.225806451612903</v>
      </c>
      <c r="AA11" s="317">
        <f>IFERROR(AA10/AA$4*100,"-")</f>
        <v>0.49382716049382713</v>
      </c>
      <c r="AB11" s="317">
        <f t="shared" si="4"/>
        <v>0.52910052910052907</v>
      </c>
      <c r="AC11" s="315">
        <v>0</v>
      </c>
      <c r="AD11" s="317">
        <f>IFERROR(AD10/AD$4*100,"-")</f>
        <v>0.98039215686274506</v>
      </c>
      <c r="AE11" s="317">
        <f t="shared" ref="AE11:AF11" si="5">IFERROR(AE10/AE$4*100,"-")</f>
        <v>0.79575596816976124</v>
      </c>
      <c r="AF11" s="317">
        <f t="shared" si="5"/>
        <v>3.225806451612903</v>
      </c>
    </row>
    <row r="12" spans="1:33" ht="21" customHeight="1">
      <c r="A12" s="526" t="s">
        <v>395</v>
      </c>
      <c r="B12" s="175" t="s">
        <v>390</v>
      </c>
      <c r="C12" s="320">
        <v>62</v>
      </c>
      <c r="D12" s="320">
        <v>51</v>
      </c>
      <c r="E12" s="320">
        <v>11</v>
      </c>
      <c r="F12" s="320">
        <v>44</v>
      </c>
      <c r="G12" s="320">
        <v>34</v>
      </c>
      <c r="H12" s="320">
        <v>10</v>
      </c>
      <c r="I12" s="320">
        <v>50</v>
      </c>
      <c r="J12" s="320">
        <v>39</v>
      </c>
      <c r="K12" s="320">
        <v>11</v>
      </c>
      <c r="L12" s="320">
        <v>28</v>
      </c>
      <c r="M12" s="320">
        <v>22</v>
      </c>
      <c r="N12" s="320">
        <v>6</v>
      </c>
      <c r="O12" s="320">
        <v>16</v>
      </c>
      <c r="P12" s="320">
        <v>15</v>
      </c>
      <c r="Q12" s="320">
        <v>1</v>
      </c>
      <c r="R12" s="315">
        <v>16</v>
      </c>
      <c r="S12" s="315">
        <v>14</v>
      </c>
      <c r="T12" s="315">
        <v>2</v>
      </c>
      <c r="U12" s="315">
        <v>16</v>
      </c>
      <c r="V12" s="315">
        <v>15</v>
      </c>
      <c r="W12" s="315">
        <v>1</v>
      </c>
      <c r="X12" s="315">
        <v>11</v>
      </c>
      <c r="Y12" s="315">
        <v>9</v>
      </c>
      <c r="Z12" s="315">
        <v>2</v>
      </c>
      <c r="AA12" s="315">
        <v>15</v>
      </c>
      <c r="AB12" s="315">
        <v>13</v>
      </c>
      <c r="AC12" s="315">
        <v>2</v>
      </c>
      <c r="AD12" s="315">
        <v>15</v>
      </c>
      <c r="AE12" s="315">
        <v>12</v>
      </c>
      <c r="AF12" s="315">
        <v>3</v>
      </c>
    </row>
    <row r="13" spans="1:33" ht="21" customHeight="1">
      <c r="A13" s="526"/>
      <c r="B13" s="177" t="s">
        <v>75</v>
      </c>
      <c r="C13" s="321">
        <v>7.888040712468193</v>
      </c>
      <c r="D13" s="321">
        <v>7.4670571010248903</v>
      </c>
      <c r="E13" s="321">
        <v>10.679611650485436</v>
      </c>
      <c r="F13" s="321">
        <v>5.3333333333333339</v>
      </c>
      <c r="G13" s="321">
        <v>4.6961325966850831</v>
      </c>
      <c r="H13" s="321">
        <v>9.9009900990099009</v>
      </c>
      <c r="I13" s="321">
        <v>6.0024009603841533</v>
      </c>
      <c r="J13" s="321">
        <v>5.500705218617771</v>
      </c>
      <c r="K13" s="321">
        <v>8.870967741935484</v>
      </c>
      <c r="L13" s="321">
        <v>3.7940379403794036</v>
      </c>
      <c r="M13" s="321">
        <v>3.459119496855346</v>
      </c>
      <c r="N13" s="321">
        <v>5.8823529411764701</v>
      </c>
      <c r="O13" s="321">
        <v>3.3684210526315788</v>
      </c>
      <c r="P13" s="321">
        <v>3.5714285714285712</v>
      </c>
      <c r="Q13" s="321">
        <v>1.8181818181818181</v>
      </c>
      <c r="R13" s="317">
        <f t="shared" ref="R13:AF13" si="6">IFERROR(R12/R$4*100,"-")</f>
        <v>3.382663847780127</v>
      </c>
      <c r="S13" s="317">
        <f t="shared" si="6"/>
        <v>3.4825870646766171</v>
      </c>
      <c r="T13" s="317">
        <f t="shared" si="6"/>
        <v>2.8169014084507045</v>
      </c>
      <c r="U13" s="317">
        <f t="shared" si="6"/>
        <v>3.3684210526315788</v>
      </c>
      <c r="V13" s="317">
        <f t="shared" si="6"/>
        <v>3.4883720930232558</v>
      </c>
      <c r="W13" s="317">
        <f t="shared" si="6"/>
        <v>2.2222222222222223</v>
      </c>
      <c r="X13" s="317">
        <f t="shared" si="6"/>
        <v>3.0386740331491713</v>
      </c>
      <c r="Y13" s="317">
        <f t="shared" si="6"/>
        <v>2.7190332326283988</v>
      </c>
      <c r="Z13" s="317">
        <f t="shared" si="6"/>
        <v>6.4516129032258061</v>
      </c>
      <c r="AA13" s="317">
        <f t="shared" si="6"/>
        <v>3.7037037037037033</v>
      </c>
      <c r="AB13" s="317">
        <f t="shared" si="6"/>
        <v>3.4391534391534391</v>
      </c>
      <c r="AC13" s="317">
        <f t="shared" si="6"/>
        <v>7.4074074074074066</v>
      </c>
      <c r="AD13" s="317">
        <f t="shared" si="6"/>
        <v>3.6764705882352944</v>
      </c>
      <c r="AE13" s="317">
        <f t="shared" si="6"/>
        <v>3.183023872679045</v>
      </c>
      <c r="AF13" s="317">
        <f t="shared" si="6"/>
        <v>9.67741935483871</v>
      </c>
    </row>
    <row r="14" spans="1:33" ht="21" customHeight="1">
      <c r="A14" s="526" t="s">
        <v>394</v>
      </c>
      <c r="B14" s="175" t="s">
        <v>390</v>
      </c>
      <c r="C14" s="320">
        <v>88</v>
      </c>
      <c r="D14" s="320">
        <v>66</v>
      </c>
      <c r="E14" s="320">
        <v>22</v>
      </c>
      <c r="F14" s="320">
        <v>90</v>
      </c>
      <c r="G14" s="320">
        <v>78</v>
      </c>
      <c r="H14" s="320">
        <v>12</v>
      </c>
      <c r="I14" s="320">
        <v>82</v>
      </c>
      <c r="J14" s="320">
        <v>66</v>
      </c>
      <c r="K14" s="320">
        <v>16</v>
      </c>
      <c r="L14" s="320">
        <v>63</v>
      </c>
      <c r="M14" s="320">
        <v>45</v>
      </c>
      <c r="N14" s="320">
        <v>18</v>
      </c>
      <c r="O14" s="320">
        <v>32</v>
      </c>
      <c r="P14" s="320">
        <v>25</v>
      </c>
      <c r="Q14" s="320">
        <v>7</v>
      </c>
      <c r="R14" s="315">
        <v>41</v>
      </c>
      <c r="S14" s="315">
        <v>28</v>
      </c>
      <c r="T14" s="315">
        <v>13</v>
      </c>
      <c r="U14" s="315">
        <v>63</v>
      </c>
      <c r="V14" s="315">
        <v>55</v>
      </c>
      <c r="W14" s="315">
        <v>8</v>
      </c>
      <c r="X14" s="315">
        <v>40</v>
      </c>
      <c r="Y14" s="315">
        <v>33</v>
      </c>
      <c r="Z14" s="315">
        <v>7</v>
      </c>
      <c r="AA14" s="315">
        <v>46</v>
      </c>
      <c r="AB14" s="315">
        <v>42</v>
      </c>
      <c r="AC14" s="315">
        <v>4</v>
      </c>
      <c r="AD14" s="315">
        <v>41</v>
      </c>
      <c r="AE14" s="315">
        <v>37</v>
      </c>
      <c r="AF14" s="315">
        <v>4</v>
      </c>
    </row>
    <row r="15" spans="1:33" ht="21" customHeight="1">
      <c r="A15" s="526"/>
      <c r="B15" s="177" t="s">
        <v>75</v>
      </c>
      <c r="C15" s="321">
        <v>11.195928753180661</v>
      </c>
      <c r="D15" s="321">
        <v>9.6632503660322104</v>
      </c>
      <c r="E15" s="321">
        <v>21.359223300970871</v>
      </c>
      <c r="F15" s="321">
        <v>10.909090909090908</v>
      </c>
      <c r="G15" s="321">
        <v>10.773480662983426</v>
      </c>
      <c r="H15" s="321">
        <v>11.881188118811881</v>
      </c>
      <c r="I15" s="321">
        <v>9.8439375750300115</v>
      </c>
      <c r="J15" s="321">
        <v>9.3088857545839208</v>
      </c>
      <c r="K15" s="321">
        <v>12.903225806451612</v>
      </c>
      <c r="L15" s="321">
        <v>8.536585365853659</v>
      </c>
      <c r="M15" s="321">
        <v>7.0754716981132075</v>
      </c>
      <c r="N15" s="321">
        <v>17.647058823529413</v>
      </c>
      <c r="O15" s="321">
        <v>6.7368421052631575</v>
      </c>
      <c r="P15" s="321">
        <v>5.9523809523809517</v>
      </c>
      <c r="Q15" s="321">
        <v>12.727272727272727</v>
      </c>
      <c r="R15" s="317">
        <f t="shared" ref="R15:AF15" si="7">IFERROR(R14/R$4*100,"-")</f>
        <v>8.6680761099365746</v>
      </c>
      <c r="S15" s="317">
        <f t="shared" si="7"/>
        <v>6.9651741293532341</v>
      </c>
      <c r="T15" s="317">
        <f t="shared" si="7"/>
        <v>18.30985915492958</v>
      </c>
      <c r="U15" s="317">
        <f t="shared" si="7"/>
        <v>13.263157894736842</v>
      </c>
      <c r="V15" s="317">
        <f t="shared" si="7"/>
        <v>12.790697674418606</v>
      </c>
      <c r="W15" s="317">
        <f t="shared" si="7"/>
        <v>17.777777777777779</v>
      </c>
      <c r="X15" s="317">
        <f t="shared" si="7"/>
        <v>11.049723756906078</v>
      </c>
      <c r="Y15" s="317">
        <f t="shared" si="7"/>
        <v>9.9697885196374632</v>
      </c>
      <c r="Z15" s="317">
        <f t="shared" si="7"/>
        <v>22.58064516129032</v>
      </c>
      <c r="AA15" s="317">
        <f t="shared" si="7"/>
        <v>11.358024691358025</v>
      </c>
      <c r="AB15" s="317">
        <f t="shared" si="7"/>
        <v>11.111111111111111</v>
      </c>
      <c r="AC15" s="317">
        <f t="shared" si="7"/>
        <v>14.814814814814813</v>
      </c>
      <c r="AD15" s="317">
        <f t="shared" si="7"/>
        <v>10.049019607843137</v>
      </c>
      <c r="AE15" s="317">
        <f t="shared" si="7"/>
        <v>9.8143236074270561</v>
      </c>
      <c r="AF15" s="317">
        <f t="shared" si="7"/>
        <v>12.903225806451612</v>
      </c>
    </row>
    <row r="16" spans="1:33" ht="21" customHeight="1">
      <c r="A16" s="526" t="s">
        <v>393</v>
      </c>
      <c r="B16" s="175" t="s">
        <v>390</v>
      </c>
      <c r="C16" s="320">
        <v>132</v>
      </c>
      <c r="D16" s="320">
        <v>114</v>
      </c>
      <c r="E16" s="320">
        <v>18</v>
      </c>
      <c r="F16" s="320">
        <v>125</v>
      </c>
      <c r="G16" s="320">
        <v>108</v>
      </c>
      <c r="H16" s="320">
        <v>17</v>
      </c>
      <c r="I16" s="320">
        <v>128</v>
      </c>
      <c r="J16" s="320">
        <v>99</v>
      </c>
      <c r="K16" s="320">
        <v>29</v>
      </c>
      <c r="L16" s="320">
        <v>114</v>
      </c>
      <c r="M16" s="320">
        <v>100</v>
      </c>
      <c r="N16" s="320">
        <v>14</v>
      </c>
      <c r="O16" s="320">
        <v>71</v>
      </c>
      <c r="P16" s="320">
        <v>62</v>
      </c>
      <c r="Q16" s="320">
        <v>9</v>
      </c>
      <c r="R16" s="315">
        <v>62</v>
      </c>
      <c r="S16" s="315">
        <v>52</v>
      </c>
      <c r="T16" s="315">
        <v>10</v>
      </c>
      <c r="U16" s="315">
        <v>90</v>
      </c>
      <c r="V16" s="315">
        <v>75</v>
      </c>
      <c r="W16" s="315">
        <v>15</v>
      </c>
      <c r="X16" s="315">
        <v>59</v>
      </c>
      <c r="Y16" s="315">
        <v>52</v>
      </c>
      <c r="Z16" s="315">
        <v>7</v>
      </c>
      <c r="AA16" s="315">
        <v>76</v>
      </c>
      <c r="AB16" s="315">
        <v>69</v>
      </c>
      <c r="AC16" s="315">
        <v>7</v>
      </c>
      <c r="AD16" s="315">
        <v>86</v>
      </c>
      <c r="AE16" s="315">
        <v>80</v>
      </c>
      <c r="AF16" s="315">
        <v>6</v>
      </c>
    </row>
    <row r="17" spans="1:32" ht="21" customHeight="1">
      <c r="A17" s="526"/>
      <c r="B17" s="177" t="s">
        <v>75</v>
      </c>
      <c r="C17" s="321">
        <v>16.793893129770993</v>
      </c>
      <c r="D17" s="321">
        <v>16.691068814055637</v>
      </c>
      <c r="E17" s="321">
        <v>17.475728155339805</v>
      </c>
      <c r="F17" s="321">
        <v>15.151515151515152</v>
      </c>
      <c r="G17" s="321">
        <v>14.917127071823206</v>
      </c>
      <c r="H17" s="321">
        <v>16.831683168316832</v>
      </c>
      <c r="I17" s="321">
        <v>15.366146458583433</v>
      </c>
      <c r="J17" s="321">
        <v>13.963328631875882</v>
      </c>
      <c r="K17" s="321">
        <v>23.387096774193548</v>
      </c>
      <c r="L17" s="321">
        <v>15.447154471544716</v>
      </c>
      <c r="M17" s="321">
        <v>15.723270440251572</v>
      </c>
      <c r="N17" s="321">
        <v>13.725490196078432</v>
      </c>
      <c r="O17" s="321">
        <v>14.947368421052632</v>
      </c>
      <c r="P17" s="321">
        <v>14.761904761904763</v>
      </c>
      <c r="Q17" s="321">
        <v>16.363636363636363</v>
      </c>
      <c r="R17" s="317">
        <f t="shared" ref="R17:AF17" si="8">IFERROR(R16/R$4*100,"-")</f>
        <v>13.107822410147993</v>
      </c>
      <c r="S17" s="317">
        <f t="shared" si="8"/>
        <v>12.935323383084576</v>
      </c>
      <c r="T17" s="317">
        <f t="shared" si="8"/>
        <v>14.084507042253522</v>
      </c>
      <c r="U17" s="317">
        <f t="shared" si="8"/>
        <v>18.947368421052634</v>
      </c>
      <c r="V17" s="317">
        <f t="shared" si="8"/>
        <v>17.441860465116278</v>
      </c>
      <c r="W17" s="317">
        <f t="shared" si="8"/>
        <v>33.333333333333329</v>
      </c>
      <c r="X17" s="317">
        <f t="shared" si="8"/>
        <v>16.298342541436465</v>
      </c>
      <c r="Y17" s="317">
        <f t="shared" si="8"/>
        <v>15.709969788519636</v>
      </c>
      <c r="Z17" s="317">
        <f t="shared" si="8"/>
        <v>22.58064516129032</v>
      </c>
      <c r="AA17" s="317">
        <f t="shared" si="8"/>
        <v>18.765432098765434</v>
      </c>
      <c r="AB17" s="317">
        <f t="shared" si="8"/>
        <v>18.253968253968253</v>
      </c>
      <c r="AC17" s="317">
        <f t="shared" si="8"/>
        <v>25.925925925925924</v>
      </c>
      <c r="AD17" s="317">
        <f t="shared" si="8"/>
        <v>21.078431372549019</v>
      </c>
      <c r="AE17" s="317">
        <f t="shared" si="8"/>
        <v>21.220159151193634</v>
      </c>
      <c r="AF17" s="317">
        <f t="shared" si="8"/>
        <v>19.35483870967742</v>
      </c>
    </row>
    <row r="18" spans="1:32" ht="21" customHeight="1">
      <c r="A18" s="526" t="s">
        <v>392</v>
      </c>
      <c r="B18" s="175" t="s">
        <v>390</v>
      </c>
      <c r="C18" s="320">
        <v>207</v>
      </c>
      <c r="D18" s="320">
        <v>186</v>
      </c>
      <c r="E18" s="320">
        <v>21</v>
      </c>
      <c r="F18" s="320">
        <v>214</v>
      </c>
      <c r="G18" s="320">
        <v>196</v>
      </c>
      <c r="H18" s="320">
        <v>18</v>
      </c>
      <c r="I18" s="320">
        <v>198</v>
      </c>
      <c r="J18" s="320">
        <v>174</v>
      </c>
      <c r="K18" s="320">
        <v>24</v>
      </c>
      <c r="L18" s="320">
        <v>160</v>
      </c>
      <c r="M18" s="320">
        <v>141</v>
      </c>
      <c r="N18" s="320">
        <v>19</v>
      </c>
      <c r="O18" s="320">
        <v>99</v>
      </c>
      <c r="P18" s="320">
        <v>87</v>
      </c>
      <c r="Q18" s="320">
        <v>12</v>
      </c>
      <c r="R18" s="315">
        <v>92</v>
      </c>
      <c r="S18" s="315">
        <v>78</v>
      </c>
      <c r="T18" s="315">
        <v>14</v>
      </c>
      <c r="U18" s="315">
        <v>121</v>
      </c>
      <c r="V18" s="315">
        <v>115</v>
      </c>
      <c r="W18" s="315">
        <v>6</v>
      </c>
      <c r="X18" s="315">
        <v>95</v>
      </c>
      <c r="Y18" s="315">
        <v>91</v>
      </c>
      <c r="Z18" s="315">
        <v>4</v>
      </c>
      <c r="AA18" s="315">
        <v>89</v>
      </c>
      <c r="AB18" s="315">
        <v>86</v>
      </c>
      <c r="AC18" s="315">
        <v>3</v>
      </c>
      <c r="AD18" s="315">
        <v>94</v>
      </c>
      <c r="AE18" s="315">
        <v>84</v>
      </c>
      <c r="AF18" s="315">
        <v>10</v>
      </c>
    </row>
    <row r="19" spans="1:32" ht="21" customHeight="1">
      <c r="A19" s="526"/>
      <c r="B19" s="177" t="s">
        <v>75</v>
      </c>
      <c r="C19" s="321">
        <v>26.335877862595421</v>
      </c>
      <c r="D19" s="321">
        <v>27.232796486090777</v>
      </c>
      <c r="E19" s="321">
        <v>20.388349514563107</v>
      </c>
      <c r="F19" s="321">
        <v>25.939393939393941</v>
      </c>
      <c r="G19" s="321">
        <v>27.071823204419886</v>
      </c>
      <c r="H19" s="321">
        <v>17.82178217821782</v>
      </c>
      <c r="I19" s="321">
        <v>23.769507803121247</v>
      </c>
      <c r="J19" s="321">
        <v>24.541607898448518</v>
      </c>
      <c r="K19" s="321">
        <v>19.35483870967742</v>
      </c>
      <c r="L19" s="321">
        <v>21.680216802168022</v>
      </c>
      <c r="M19" s="321">
        <v>22.169811320754718</v>
      </c>
      <c r="N19" s="321">
        <v>18.627450980392158</v>
      </c>
      <c r="O19" s="321">
        <v>20.842105263157894</v>
      </c>
      <c r="P19" s="321">
        <v>20.714285714285715</v>
      </c>
      <c r="Q19" s="321">
        <v>21.818181818181817</v>
      </c>
      <c r="R19" s="317">
        <f t="shared" ref="R19:AF19" si="9">IFERROR(R18/R$4*100,"-")</f>
        <v>19.450317124735729</v>
      </c>
      <c r="S19" s="317">
        <f t="shared" si="9"/>
        <v>19.402985074626866</v>
      </c>
      <c r="T19" s="317">
        <f t="shared" si="9"/>
        <v>19.718309859154928</v>
      </c>
      <c r="U19" s="317">
        <f t="shared" si="9"/>
        <v>25.473684210526315</v>
      </c>
      <c r="V19" s="317">
        <f t="shared" si="9"/>
        <v>26.744186046511626</v>
      </c>
      <c r="W19" s="317">
        <f t="shared" si="9"/>
        <v>13.333333333333334</v>
      </c>
      <c r="X19" s="317">
        <f t="shared" si="9"/>
        <v>26.243093922651934</v>
      </c>
      <c r="Y19" s="317">
        <f t="shared" si="9"/>
        <v>27.492447129909365</v>
      </c>
      <c r="Z19" s="317">
        <f t="shared" si="9"/>
        <v>12.903225806451612</v>
      </c>
      <c r="AA19" s="317">
        <f t="shared" si="9"/>
        <v>21.975308641975307</v>
      </c>
      <c r="AB19" s="317">
        <f t="shared" si="9"/>
        <v>22.75132275132275</v>
      </c>
      <c r="AC19" s="317">
        <f t="shared" si="9"/>
        <v>11.111111111111111</v>
      </c>
      <c r="AD19" s="317">
        <f t="shared" si="9"/>
        <v>23.03921568627451</v>
      </c>
      <c r="AE19" s="317">
        <f t="shared" si="9"/>
        <v>22.281167108753316</v>
      </c>
      <c r="AF19" s="317">
        <f t="shared" si="9"/>
        <v>32.258064516129032</v>
      </c>
    </row>
    <row r="20" spans="1:32" ht="21" customHeight="1">
      <c r="A20" s="526" t="s">
        <v>391</v>
      </c>
      <c r="B20" s="175" t="s">
        <v>390</v>
      </c>
      <c r="C20" s="320">
        <v>279</v>
      </c>
      <c r="D20" s="320">
        <v>252</v>
      </c>
      <c r="E20" s="320">
        <v>27</v>
      </c>
      <c r="F20" s="320">
        <v>341</v>
      </c>
      <c r="G20" s="320">
        <v>298</v>
      </c>
      <c r="H20" s="320">
        <v>43</v>
      </c>
      <c r="I20" s="320">
        <v>358</v>
      </c>
      <c r="J20" s="320">
        <v>316</v>
      </c>
      <c r="K20" s="320">
        <v>42</v>
      </c>
      <c r="L20" s="320">
        <v>363</v>
      </c>
      <c r="M20" s="320">
        <v>319</v>
      </c>
      <c r="N20" s="320">
        <v>44</v>
      </c>
      <c r="O20" s="320">
        <v>254</v>
      </c>
      <c r="P20" s="320">
        <v>228</v>
      </c>
      <c r="Q20" s="320">
        <v>26</v>
      </c>
      <c r="R20" s="315">
        <v>261</v>
      </c>
      <c r="S20" s="315">
        <v>229</v>
      </c>
      <c r="T20" s="315">
        <v>32</v>
      </c>
      <c r="U20" s="315">
        <v>184</v>
      </c>
      <c r="V20" s="315">
        <v>169</v>
      </c>
      <c r="W20" s="315">
        <v>15</v>
      </c>
      <c r="X20" s="315">
        <v>154</v>
      </c>
      <c r="Y20" s="315">
        <v>144</v>
      </c>
      <c r="Z20" s="315">
        <v>10</v>
      </c>
      <c r="AA20" s="315">
        <v>177</v>
      </c>
      <c r="AB20" s="315">
        <v>166</v>
      </c>
      <c r="AC20" s="315">
        <v>11</v>
      </c>
      <c r="AD20" s="315">
        <v>168</v>
      </c>
      <c r="AE20" s="315">
        <v>161</v>
      </c>
      <c r="AF20" s="315">
        <v>7</v>
      </c>
    </row>
    <row r="21" spans="1:32" ht="21" customHeight="1">
      <c r="A21" s="532"/>
      <c r="B21" s="173" t="s">
        <v>75</v>
      </c>
      <c r="C21" s="322">
        <v>35.496183206106871</v>
      </c>
      <c r="D21" s="322">
        <v>36.896046852122986</v>
      </c>
      <c r="E21" s="322">
        <v>26.21359223300971</v>
      </c>
      <c r="F21" s="322">
        <v>41.333333333333336</v>
      </c>
      <c r="G21" s="322">
        <v>41.160220994475139</v>
      </c>
      <c r="H21" s="322">
        <v>42.574257425742573</v>
      </c>
      <c r="I21" s="322">
        <v>42.977190876350541</v>
      </c>
      <c r="J21" s="322">
        <v>44.569816643159378</v>
      </c>
      <c r="K21" s="322">
        <v>33.87096774193548</v>
      </c>
      <c r="L21" s="322">
        <v>49.1869918699187</v>
      </c>
      <c r="M21" s="322">
        <v>50.157232704402524</v>
      </c>
      <c r="N21" s="322">
        <v>43.137254901960787</v>
      </c>
      <c r="O21" s="322">
        <v>53.473684210526315</v>
      </c>
      <c r="P21" s="322">
        <v>54.285714285714285</v>
      </c>
      <c r="Q21" s="322">
        <v>47.272727272727273</v>
      </c>
      <c r="R21" s="319">
        <f t="shared" ref="R21:AF21" si="10">IFERROR(R20/R$4*100,"-")</f>
        <v>55.17970401691332</v>
      </c>
      <c r="S21" s="319">
        <f t="shared" si="10"/>
        <v>56.965174129353237</v>
      </c>
      <c r="T21" s="319">
        <f t="shared" si="10"/>
        <v>45.070422535211272</v>
      </c>
      <c r="U21" s="319">
        <f t="shared" si="10"/>
        <v>38.736842105263158</v>
      </c>
      <c r="V21" s="319">
        <f t="shared" si="10"/>
        <v>39.302325581395351</v>
      </c>
      <c r="W21" s="319">
        <f t="shared" si="10"/>
        <v>33.333333333333329</v>
      </c>
      <c r="X21" s="319">
        <f t="shared" si="10"/>
        <v>42.541436464088399</v>
      </c>
      <c r="Y21" s="319">
        <f t="shared" si="10"/>
        <v>43.504531722054381</v>
      </c>
      <c r="Z21" s="319">
        <f t="shared" si="10"/>
        <v>32.258064516129032</v>
      </c>
      <c r="AA21" s="319">
        <f t="shared" si="10"/>
        <v>43.703703703703702</v>
      </c>
      <c r="AB21" s="319">
        <f t="shared" si="10"/>
        <v>43.915343915343911</v>
      </c>
      <c r="AC21" s="319">
        <f t="shared" si="10"/>
        <v>40.74074074074074</v>
      </c>
      <c r="AD21" s="319">
        <f t="shared" si="10"/>
        <v>41.17647058823529</v>
      </c>
      <c r="AE21" s="319">
        <f t="shared" si="10"/>
        <v>42.705570291777192</v>
      </c>
      <c r="AF21" s="319">
        <f t="shared" si="10"/>
        <v>22.58064516129032</v>
      </c>
    </row>
    <row r="22" spans="1:32" ht="12.95" customHeight="1">
      <c r="A22" s="553" t="s">
        <v>389</v>
      </c>
      <c r="B22" s="553"/>
      <c r="C22" s="553"/>
      <c r="D22" s="553"/>
      <c r="E22" s="553"/>
      <c r="F22" s="553"/>
      <c r="G22" s="553"/>
      <c r="H22" s="553"/>
      <c r="I22" s="553"/>
      <c r="J22" s="553"/>
      <c r="K22" s="553"/>
      <c r="L22" s="553"/>
      <c r="M22" s="553"/>
      <c r="N22" s="553"/>
      <c r="O22" s="553"/>
      <c r="P22" s="553"/>
      <c r="Q22" s="553"/>
      <c r="R22" s="553"/>
      <c r="S22" s="553"/>
      <c r="T22" s="553"/>
      <c r="U22" s="553"/>
      <c r="V22" s="553"/>
      <c r="W22" s="157"/>
      <c r="X22" s="157"/>
      <c r="Y22" s="157"/>
      <c r="Z22" s="157"/>
      <c r="AA22" s="157"/>
      <c r="AB22" s="157"/>
      <c r="AC22" s="157"/>
      <c r="AD22" s="157"/>
      <c r="AE22" s="157"/>
      <c r="AF22" s="157"/>
    </row>
    <row r="23" spans="1:32" ht="30" customHeight="1">
      <c r="A23" s="554" t="s">
        <v>435</v>
      </c>
      <c r="B23" s="555"/>
      <c r="C23" s="555"/>
      <c r="D23" s="555"/>
      <c r="E23" s="555"/>
      <c r="F23" s="555"/>
      <c r="G23" s="555"/>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5"/>
      <c r="AF23" s="555"/>
    </row>
  </sheetData>
  <mergeCells count="23">
    <mergeCell ref="A14:A15"/>
    <mergeCell ref="A4:A5"/>
    <mergeCell ref="A6:A7"/>
    <mergeCell ref="A8:A9"/>
    <mergeCell ref="A10:A11"/>
    <mergeCell ref="A12:A13"/>
    <mergeCell ref="A1:AF1"/>
    <mergeCell ref="A2:B3"/>
    <mergeCell ref="R2:T2"/>
    <mergeCell ref="U2:W2"/>
    <mergeCell ref="X2:Z2"/>
    <mergeCell ref="AA2:AC2"/>
    <mergeCell ref="AD2:AF2"/>
    <mergeCell ref="C2:E2"/>
    <mergeCell ref="F2:H2"/>
    <mergeCell ref="I2:K2"/>
    <mergeCell ref="L2:N2"/>
    <mergeCell ref="O2:Q2"/>
    <mergeCell ref="A16:A17"/>
    <mergeCell ref="A18:A19"/>
    <mergeCell ref="A20:A21"/>
    <mergeCell ref="A22:V22"/>
    <mergeCell ref="A23:AF23"/>
  </mergeCells>
  <phoneticPr fontId="37" type="noConversion"/>
  <hyperlinks>
    <hyperlink ref="AG1" location="本篇表次!A1" display="回本篇表次"/>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G17"/>
  <sheetViews>
    <sheetView showGridLines="0" zoomScaleNormal="100" workbookViewId="0">
      <pane xSplit="2" ySplit="3" topLeftCell="C4" activePane="bottomRight" state="frozen"/>
      <selection sqref="A1:AE1"/>
      <selection pane="topRight" sqref="A1:AE1"/>
      <selection pane="bottomLeft" sqref="A1:AE1"/>
      <selection pane="bottomRight" sqref="A1:AE1"/>
    </sheetView>
  </sheetViews>
  <sheetFormatPr defaultColWidth="8.375" defaultRowHeight="16.5"/>
  <cols>
    <col min="1" max="1" width="9.5" bestFit="1" customWidth="1"/>
    <col min="2" max="2" width="5" bestFit="1" customWidth="1"/>
    <col min="3" max="32" width="8.125" customWidth="1"/>
    <col min="33" max="33" width="12.625" bestFit="1" customWidth="1"/>
  </cols>
  <sheetData>
    <row r="1" spans="1:33" ht="30" customHeight="1">
      <c r="A1" s="543" t="s">
        <v>756</v>
      </c>
      <c r="B1" s="543"/>
      <c r="C1" s="543"/>
      <c r="D1" s="543"/>
      <c r="E1" s="543"/>
      <c r="F1" s="543"/>
      <c r="G1" s="543"/>
      <c r="H1" s="543"/>
      <c r="I1" s="543"/>
      <c r="J1" s="543"/>
      <c r="K1" s="543"/>
      <c r="L1" s="543"/>
      <c r="M1" s="543"/>
      <c r="N1" s="543"/>
      <c r="O1" s="543"/>
      <c r="P1" s="543"/>
      <c r="Q1" s="543"/>
      <c r="R1" s="543"/>
      <c r="S1" s="543"/>
      <c r="T1" s="543"/>
      <c r="U1" s="543"/>
      <c r="V1" s="543"/>
      <c r="W1" s="543"/>
      <c r="X1" s="543"/>
      <c r="Y1" s="543"/>
      <c r="Z1" s="543"/>
      <c r="AA1" s="543"/>
      <c r="AB1" s="543"/>
      <c r="AC1" s="543"/>
      <c r="AD1" s="544"/>
      <c r="AE1" s="544"/>
      <c r="AF1" s="544"/>
      <c r="AG1" s="242" t="s">
        <v>548</v>
      </c>
    </row>
    <row r="2" spans="1:33" ht="30" customHeight="1">
      <c r="A2" s="528"/>
      <c r="B2" s="528"/>
      <c r="C2" s="529" t="s">
        <v>739</v>
      </c>
      <c r="D2" s="529"/>
      <c r="E2" s="529"/>
      <c r="F2" s="529" t="s">
        <v>740</v>
      </c>
      <c r="G2" s="529"/>
      <c r="H2" s="529"/>
      <c r="I2" s="529" t="s">
        <v>741</v>
      </c>
      <c r="J2" s="529"/>
      <c r="K2" s="529"/>
      <c r="L2" s="529" t="s">
        <v>742</v>
      </c>
      <c r="M2" s="529"/>
      <c r="N2" s="529"/>
      <c r="O2" s="529" t="s">
        <v>743</v>
      </c>
      <c r="P2" s="529"/>
      <c r="Q2" s="529"/>
      <c r="R2" s="529" t="s">
        <v>375</v>
      </c>
      <c r="S2" s="529"/>
      <c r="T2" s="529"/>
      <c r="U2" s="529" t="s">
        <v>163</v>
      </c>
      <c r="V2" s="529"/>
      <c r="W2" s="529"/>
      <c r="X2" s="529" t="s">
        <v>388</v>
      </c>
      <c r="Y2" s="529"/>
      <c r="Z2" s="529"/>
      <c r="AA2" s="529" t="s">
        <v>45</v>
      </c>
      <c r="AB2" s="529"/>
      <c r="AC2" s="529"/>
      <c r="AD2" s="529" t="s">
        <v>619</v>
      </c>
      <c r="AE2" s="529"/>
      <c r="AF2" s="529"/>
    </row>
    <row r="3" spans="1:33" ht="30" customHeight="1">
      <c r="A3" s="526"/>
      <c r="B3" s="526"/>
      <c r="C3" s="162" t="s">
        <v>402</v>
      </c>
      <c r="D3" s="162" t="s">
        <v>401</v>
      </c>
      <c r="E3" s="162" t="s">
        <v>400</v>
      </c>
      <c r="F3" s="162" t="s">
        <v>402</v>
      </c>
      <c r="G3" s="162" t="s">
        <v>401</v>
      </c>
      <c r="H3" s="162" t="s">
        <v>400</v>
      </c>
      <c r="I3" s="162" t="s">
        <v>402</v>
      </c>
      <c r="J3" s="162" t="s">
        <v>401</v>
      </c>
      <c r="K3" s="162" t="s">
        <v>400</v>
      </c>
      <c r="L3" s="162" t="s">
        <v>402</v>
      </c>
      <c r="M3" s="162" t="s">
        <v>401</v>
      </c>
      <c r="N3" s="162" t="s">
        <v>400</v>
      </c>
      <c r="O3" s="162" t="s">
        <v>402</v>
      </c>
      <c r="P3" s="162" t="s">
        <v>401</v>
      </c>
      <c r="Q3" s="162" t="s">
        <v>400</v>
      </c>
      <c r="R3" s="162" t="s">
        <v>402</v>
      </c>
      <c r="S3" s="162" t="s">
        <v>401</v>
      </c>
      <c r="T3" s="162" t="s">
        <v>400</v>
      </c>
      <c r="U3" s="162" t="s">
        <v>402</v>
      </c>
      <c r="V3" s="162" t="s">
        <v>401</v>
      </c>
      <c r="W3" s="162" t="s">
        <v>400</v>
      </c>
      <c r="X3" s="162" t="s">
        <v>402</v>
      </c>
      <c r="Y3" s="162" t="s">
        <v>401</v>
      </c>
      <c r="Z3" s="162" t="s">
        <v>400</v>
      </c>
      <c r="AA3" s="162" t="s">
        <v>402</v>
      </c>
      <c r="AB3" s="162" t="s">
        <v>401</v>
      </c>
      <c r="AC3" s="162" t="s">
        <v>400</v>
      </c>
      <c r="AD3" s="162" t="s">
        <v>402</v>
      </c>
      <c r="AE3" s="162" t="s">
        <v>401</v>
      </c>
      <c r="AF3" s="162" t="s">
        <v>400</v>
      </c>
    </row>
    <row r="4" spans="1:33" ht="35.1" customHeight="1">
      <c r="A4" s="526" t="s">
        <v>442</v>
      </c>
      <c r="B4" s="175" t="s">
        <v>390</v>
      </c>
      <c r="C4" s="175">
        <v>786</v>
      </c>
      <c r="D4" s="175">
        <v>683</v>
      </c>
      <c r="E4" s="175">
        <v>103</v>
      </c>
      <c r="F4" s="175">
        <v>825</v>
      </c>
      <c r="G4" s="175">
        <v>724</v>
      </c>
      <c r="H4" s="175">
        <v>101</v>
      </c>
      <c r="I4" s="175">
        <v>833</v>
      </c>
      <c r="J4" s="175">
        <v>709</v>
      </c>
      <c r="K4" s="175">
        <v>124</v>
      </c>
      <c r="L4" s="175">
        <v>738</v>
      </c>
      <c r="M4" s="175">
        <v>636</v>
      </c>
      <c r="N4" s="175">
        <v>102</v>
      </c>
      <c r="O4" s="175">
        <v>475</v>
      </c>
      <c r="P4" s="175">
        <v>420</v>
      </c>
      <c r="Q4" s="175">
        <v>55</v>
      </c>
      <c r="R4" s="315">
        <f t="shared" ref="R4:AF4" si="0">SUM(R12,R14,R8,R6,R10,)</f>
        <v>473</v>
      </c>
      <c r="S4" s="315">
        <f t="shared" si="0"/>
        <v>402</v>
      </c>
      <c r="T4" s="315">
        <f t="shared" si="0"/>
        <v>71</v>
      </c>
      <c r="U4" s="315">
        <f t="shared" si="0"/>
        <v>475</v>
      </c>
      <c r="V4" s="315">
        <f t="shared" si="0"/>
        <v>430</v>
      </c>
      <c r="W4" s="315">
        <f t="shared" si="0"/>
        <v>45</v>
      </c>
      <c r="X4" s="316">
        <f t="shared" si="0"/>
        <v>362</v>
      </c>
      <c r="Y4" s="316">
        <f t="shared" si="0"/>
        <v>331</v>
      </c>
      <c r="Z4" s="316">
        <f t="shared" si="0"/>
        <v>31</v>
      </c>
      <c r="AA4" s="316">
        <f t="shared" si="0"/>
        <v>405</v>
      </c>
      <c r="AB4" s="316">
        <f t="shared" si="0"/>
        <v>378</v>
      </c>
      <c r="AC4" s="316">
        <f t="shared" si="0"/>
        <v>27</v>
      </c>
      <c r="AD4" s="316">
        <f t="shared" si="0"/>
        <v>408</v>
      </c>
      <c r="AE4" s="316">
        <f t="shared" si="0"/>
        <v>377</v>
      </c>
      <c r="AF4" s="316">
        <f t="shared" si="0"/>
        <v>31</v>
      </c>
    </row>
    <row r="5" spans="1:33" ht="35.1" customHeight="1">
      <c r="A5" s="526" t="s">
        <v>441</v>
      </c>
      <c r="B5" s="177" t="s">
        <v>75</v>
      </c>
      <c r="C5" s="177">
        <v>100</v>
      </c>
      <c r="D5" s="177">
        <v>100</v>
      </c>
      <c r="E5" s="177">
        <v>100</v>
      </c>
      <c r="F5" s="177">
        <v>100</v>
      </c>
      <c r="G5" s="177">
        <v>100</v>
      </c>
      <c r="H5" s="177">
        <v>100</v>
      </c>
      <c r="I5" s="177">
        <v>100</v>
      </c>
      <c r="J5" s="177">
        <v>100</v>
      </c>
      <c r="K5" s="177">
        <v>100</v>
      </c>
      <c r="L5" s="177">
        <v>100</v>
      </c>
      <c r="M5" s="177">
        <v>100</v>
      </c>
      <c r="N5" s="177">
        <v>100</v>
      </c>
      <c r="O5" s="177">
        <v>100</v>
      </c>
      <c r="P5" s="177">
        <v>100</v>
      </c>
      <c r="Q5" s="177">
        <v>100</v>
      </c>
      <c r="R5" s="317">
        <f t="shared" ref="R5:AF5" si="1">SUM(R13,R15,R9,R7,R11,)</f>
        <v>100</v>
      </c>
      <c r="S5" s="317">
        <f t="shared" si="1"/>
        <v>100</v>
      </c>
      <c r="T5" s="317">
        <f t="shared" si="1"/>
        <v>100</v>
      </c>
      <c r="U5" s="317">
        <f t="shared" si="1"/>
        <v>100</v>
      </c>
      <c r="V5" s="317">
        <f t="shared" si="1"/>
        <v>100</v>
      </c>
      <c r="W5" s="317">
        <f t="shared" si="1"/>
        <v>100</v>
      </c>
      <c r="X5" s="317">
        <f t="shared" si="1"/>
        <v>100</v>
      </c>
      <c r="Y5" s="317">
        <f t="shared" si="1"/>
        <v>100</v>
      </c>
      <c r="Z5" s="317">
        <f t="shared" si="1"/>
        <v>100</v>
      </c>
      <c r="AA5" s="317">
        <f t="shared" si="1"/>
        <v>100</v>
      </c>
      <c r="AB5" s="317">
        <f t="shared" si="1"/>
        <v>100</v>
      </c>
      <c r="AC5" s="317">
        <f t="shared" si="1"/>
        <v>100</v>
      </c>
      <c r="AD5" s="317">
        <f t="shared" si="1"/>
        <v>100</v>
      </c>
      <c r="AE5" s="317">
        <f t="shared" si="1"/>
        <v>100.00000000000001</v>
      </c>
      <c r="AF5" s="317">
        <f t="shared" si="1"/>
        <v>100</v>
      </c>
    </row>
    <row r="6" spans="1:33" ht="35.1" customHeight="1">
      <c r="A6" s="526" t="s">
        <v>440</v>
      </c>
      <c r="B6" s="175" t="s">
        <v>390</v>
      </c>
      <c r="C6" s="175">
        <v>263</v>
      </c>
      <c r="D6" s="175">
        <v>229</v>
      </c>
      <c r="E6" s="175">
        <v>34</v>
      </c>
      <c r="F6" s="175">
        <v>353</v>
      </c>
      <c r="G6" s="175">
        <v>293</v>
      </c>
      <c r="H6" s="175">
        <v>60</v>
      </c>
      <c r="I6" s="175">
        <v>351</v>
      </c>
      <c r="J6" s="175">
        <v>301</v>
      </c>
      <c r="K6" s="175">
        <v>50</v>
      </c>
      <c r="L6" s="175">
        <v>380</v>
      </c>
      <c r="M6" s="175">
        <v>333</v>
      </c>
      <c r="N6" s="175">
        <v>47</v>
      </c>
      <c r="O6" s="175">
        <v>223</v>
      </c>
      <c r="P6" s="175">
        <v>197</v>
      </c>
      <c r="Q6" s="175">
        <v>26</v>
      </c>
      <c r="R6" s="315">
        <v>225</v>
      </c>
      <c r="S6" s="315">
        <v>182</v>
      </c>
      <c r="T6" s="315">
        <v>43</v>
      </c>
      <c r="U6" s="315">
        <v>263</v>
      </c>
      <c r="V6" s="315">
        <v>241</v>
      </c>
      <c r="W6" s="315">
        <v>22</v>
      </c>
      <c r="X6" s="315">
        <v>203</v>
      </c>
      <c r="Y6" s="315">
        <v>186</v>
      </c>
      <c r="Z6" s="315">
        <v>17</v>
      </c>
      <c r="AA6" s="315">
        <v>210</v>
      </c>
      <c r="AB6" s="315">
        <v>198</v>
      </c>
      <c r="AC6" s="315">
        <v>12</v>
      </c>
      <c r="AD6" s="315">
        <v>205</v>
      </c>
      <c r="AE6" s="315">
        <v>190</v>
      </c>
      <c r="AF6" s="315">
        <v>15</v>
      </c>
    </row>
    <row r="7" spans="1:33" ht="35.1" customHeight="1">
      <c r="A7" s="526"/>
      <c r="B7" s="177" t="s">
        <v>75</v>
      </c>
      <c r="C7" s="177">
        <v>33.460559796437664</v>
      </c>
      <c r="D7" s="177">
        <v>33.528550512445094</v>
      </c>
      <c r="E7" s="177">
        <v>33.009708737864081</v>
      </c>
      <c r="F7" s="177">
        <v>42.787878787878789</v>
      </c>
      <c r="G7" s="177">
        <v>40.469613259668506</v>
      </c>
      <c r="H7" s="177">
        <v>59.405940594059402</v>
      </c>
      <c r="I7" s="177">
        <v>42.136854741896755</v>
      </c>
      <c r="J7" s="177">
        <v>42.454160789844849</v>
      </c>
      <c r="K7" s="177">
        <v>40.322580645161288</v>
      </c>
      <c r="L7" s="177">
        <v>51.490514905149055</v>
      </c>
      <c r="M7" s="177">
        <v>52.358490566037744</v>
      </c>
      <c r="N7" s="177">
        <v>46.078431372549019</v>
      </c>
      <c r="O7" s="177">
        <v>46.94736842105263</v>
      </c>
      <c r="P7" s="177">
        <v>46.904761904761905</v>
      </c>
      <c r="Q7" s="177">
        <v>47.272727272727273</v>
      </c>
      <c r="R7" s="317">
        <f t="shared" ref="R7:AF7" si="2">IFERROR(R6/R$4*100,"-")</f>
        <v>47.568710359408037</v>
      </c>
      <c r="S7" s="317">
        <f t="shared" si="2"/>
        <v>45.273631840796021</v>
      </c>
      <c r="T7" s="317">
        <f t="shared" si="2"/>
        <v>60.563380281690137</v>
      </c>
      <c r="U7" s="317">
        <f t="shared" si="2"/>
        <v>55.368421052631575</v>
      </c>
      <c r="V7" s="317">
        <f t="shared" si="2"/>
        <v>56.04651162790698</v>
      </c>
      <c r="W7" s="317">
        <f t="shared" si="2"/>
        <v>48.888888888888886</v>
      </c>
      <c r="X7" s="317">
        <f t="shared" si="2"/>
        <v>56.077348066298342</v>
      </c>
      <c r="Y7" s="317">
        <f t="shared" si="2"/>
        <v>56.19335347432024</v>
      </c>
      <c r="Z7" s="317">
        <f t="shared" si="2"/>
        <v>54.838709677419352</v>
      </c>
      <c r="AA7" s="317">
        <f t="shared" si="2"/>
        <v>51.851851851851848</v>
      </c>
      <c r="AB7" s="317">
        <f t="shared" si="2"/>
        <v>52.380952380952387</v>
      </c>
      <c r="AC7" s="317">
        <f t="shared" si="2"/>
        <v>44.444444444444443</v>
      </c>
      <c r="AD7" s="317">
        <f t="shared" si="2"/>
        <v>50.245098039215684</v>
      </c>
      <c r="AE7" s="317">
        <f t="shared" si="2"/>
        <v>50.397877984084886</v>
      </c>
      <c r="AF7" s="317">
        <f t="shared" si="2"/>
        <v>48.387096774193552</v>
      </c>
    </row>
    <row r="8" spans="1:33" ht="35.1" customHeight="1">
      <c r="A8" s="526" t="s">
        <v>439</v>
      </c>
      <c r="B8" s="175" t="s">
        <v>390</v>
      </c>
      <c r="C8" s="175">
        <v>516</v>
      </c>
      <c r="D8" s="175">
        <v>449</v>
      </c>
      <c r="E8" s="175">
        <v>67</v>
      </c>
      <c r="F8" s="175">
        <v>472</v>
      </c>
      <c r="G8" s="175">
        <v>431</v>
      </c>
      <c r="H8" s="175">
        <v>41</v>
      </c>
      <c r="I8" s="175">
        <v>476</v>
      </c>
      <c r="J8" s="175">
        <v>404</v>
      </c>
      <c r="K8" s="175">
        <v>72</v>
      </c>
      <c r="L8" s="175">
        <v>352</v>
      </c>
      <c r="M8" s="175">
        <v>298</v>
      </c>
      <c r="N8" s="175">
        <v>54</v>
      </c>
      <c r="O8" s="175">
        <v>248</v>
      </c>
      <c r="P8" s="175">
        <v>219</v>
      </c>
      <c r="Q8" s="175">
        <v>29</v>
      </c>
      <c r="R8" s="315">
        <v>222</v>
      </c>
      <c r="S8" s="315">
        <v>195</v>
      </c>
      <c r="T8" s="315">
        <v>27</v>
      </c>
      <c r="U8" s="315">
        <v>199</v>
      </c>
      <c r="V8" s="315">
        <v>176</v>
      </c>
      <c r="W8" s="315">
        <v>23</v>
      </c>
      <c r="X8" s="315">
        <v>144</v>
      </c>
      <c r="Y8" s="315">
        <v>132</v>
      </c>
      <c r="Z8" s="315">
        <v>12</v>
      </c>
      <c r="AA8" s="315">
        <v>171</v>
      </c>
      <c r="AB8" s="315">
        <v>160</v>
      </c>
      <c r="AC8" s="315">
        <v>11</v>
      </c>
      <c r="AD8" s="315">
        <v>193</v>
      </c>
      <c r="AE8" s="315">
        <v>177</v>
      </c>
      <c r="AF8" s="315">
        <v>16</v>
      </c>
    </row>
    <row r="9" spans="1:33" ht="35.1" customHeight="1">
      <c r="A9" s="526"/>
      <c r="B9" s="177" t="s">
        <v>75</v>
      </c>
      <c r="C9" s="177">
        <v>65.648854961832058</v>
      </c>
      <c r="D9" s="177">
        <v>65.739385065885799</v>
      </c>
      <c r="E9" s="177">
        <v>65.048543689320397</v>
      </c>
      <c r="F9" s="177">
        <v>57.212121212121211</v>
      </c>
      <c r="G9" s="177">
        <v>59.530386740331487</v>
      </c>
      <c r="H9" s="177">
        <v>40.594059405940598</v>
      </c>
      <c r="I9" s="177">
        <v>57.142857142857139</v>
      </c>
      <c r="J9" s="177">
        <v>56.981664315937941</v>
      </c>
      <c r="K9" s="177">
        <v>58.064516129032263</v>
      </c>
      <c r="L9" s="177">
        <v>47.696476964769644</v>
      </c>
      <c r="M9" s="177">
        <v>46.855345911949684</v>
      </c>
      <c r="N9" s="177">
        <v>52.941176470588239</v>
      </c>
      <c r="O9" s="177">
        <v>52.210526315789473</v>
      </c>
      <c r="P9" s="177">
        <v>52.142857142857146</v>
      </c>
      <c r="Q9" s="177">
        <v>52.72727272727272</v>
      </c>
      <c r="R9" s="317">
        <f t="shared" ref="R9:AF9" si="3">IFERROR(R8/R$4*100,"-")</f>
        <v>46.934460887949257</v>
      </c>
      <c r="S9" s="317">
        <f t="shared" si="3"/>
        <v>48.507462686567166</v>
      </c>
      <c r="T9" s="317">
        <f t="shared" si="3"/>
        <v>38.028169014084504</v>
      </c>
      <c r="U9" s="317">
        <f t="shared" si="3"/>
        <v>41.89473684210526</v>
      </c>
      <c r="V9" s="317">
        <f t="shared" si="3"/>
        <v>40.930232558139537</v>
      </c>
      <c r="W9" s="317">
        <f t="shared" si="3"/>
        <v>51.111111111111107</v>
      </c>
      <c r="X9" s="317">
        <f t="shared" si="3"/>
        <v>39.77900552486188</v>
      </c>
      <c r="Y9" s="317">
        <f t="shared" si="3"/>
        <v>39.879154078549853</v>
      </c>
      <c r="Z9" s="317">
        <f t="shared" si="3"/>
        <v>38.70967741935484</v>
      </c>
      <c r="AA9" s="317">
        <f t="shared" si="3"/>
        <v>42.222222222222221</v>
      </c>
      <c r="AB9" s="317">
        <f t="shared" si="3"/>
        <v>42.328042328042329</v>
      </c>
      <c r="AC9" s="317">
        <f t="shared" si="3"/>
        <v>40.74074074074074</v>
      </c>
      <c r="AD9" s="317">
        <f t="shared" si="3"/>
        <v>47.303921568627452</v>
      </c>
      <c r="AE9" s="317">
        <f t="shared" si="3"/>
        <v>46.949602122015918</v>
      </c>
      <c r="AF9" s="317">
        <f t="shared" si="3"/>
        <v>51.612903225806448</v>
      </c>
      <c r="AG9" s="176"/>
    </row>
    <row r="10" spans="1:33" ht="35.1" customHeight="1">
      <c r="A10" s="526" t="s">
        <v>438</v>
      </c>
      <c r="B10" s="175" t="s">
        <v>390</v>
      </c>
      <c r="C10" s="175">
        <v>3</v>
      </c>
      <c r="D10" s="175">
        <v>2</v>
      </c>
      <c r="E10" s="175">
        <v>1</v>
      </c>
      <c r="F10" s="175">
        <v>0</v>
      </c>
      <c r="G10" s="175">
        <v>0</v>
      </c>
      <c r="H10" s="175">
        <v>0</v>
      </c>
      <c r="I10" s="175">
        <v>5</v>
      </c>
      <c r="J10" s="175">
        <v>3</v>
      </c>
      <c r="K10" s="175">
        <v>2</v>
      </c>
      <c r="L10" s="175">
        <v>2</v>
      </c>
      <c r="M10" s="175">
        <v>2</v>
      </c>
      <c r="N10" s="175">
        <v>0</v>
      </c>
      <c r="O10" s="175">
        <v>2</v>
      </c>
      <c r="P10" s="175">
        <v>2</v>
      </c>
      <c r="Q10" s="175">
        <v>0</v>
      </c>
      <c r="R10" s="315">
        <v>25</v>
      </c>
      <c r="S10" s="315">
        <v>24</v>
      </c>
      <c r="T10" s="315">
        <v>1</v>
      </c>
      <c r="U10" s="315">
        <v>13</v>
      </c>
      <c r="V10" s="315">
        <v>13</v>
      </c>
      <c r="W10" s="315" t="s">
        <v>49</v>
      </c>
      <c r="X10" s="315">
        <v>13</v>
      </c>
      <c r="Y10" s="315">
        <v>11</v>
      </c>
      <c r="Z10" s="315">
        <v>2</v>
      </c>
      <c r="AA10" s="315">
        <v>24</v>
      </c>
      <c r="AB10" s="315">
        <v>20</v>
      </c>
      <c r="AC10" s="315">
        <v>4</v>
      </c>
      <c r="AD10" s="315">
        <v>10</v>
      </c>
      <c r="AE10" s="315">
        <v>10</v>
      </c>
      <c r="AF10" s="315">
        <v>0</v>
      </c>
    </row>
    <row r="11" spans="1:33" ht="35.1" customHeight="1">
      <c r="A11" s="526"/>
      <c r="B11" s="177" t="s">
        <v>75</v>
      </c>
      <c r="C11" s="177">
        <v>0.38167938931297707</v>
      </c>
      <c r="D11" s="177">
        <v>0.29282576866764276</v>
      </c>
      <c r="E11" s="177">
        <v>0.97087378640776689</v>
      </c>
      <c r="F11" s="175">
        <v>0</v>
      </c>
      <c r="G11" s="175">
        <v>0</v>
      </c>
      <c r="H11" s="175">
        <v>0</v>
      </c>
      <c r="I11" s="177">
        <v>0.60024009603841544</v>
      </c>
      <c r="J11" s="177">
        <v>0.42313117066290551</v>
      </c>
      <c r="K11" s="177">
        <v>1.6129032258064515</v>
      </c>
      <c r="L11" s="177">
        <v>0.27100271002710025</v>
      </c>
      <c r="M11" s="177">
        <v>0.31446540880503149</v>
      </c>
      <c r="N11" s="177">
        <v>0</v>
      </c>
      <c r="O11" s="177">
        <v>0.42105263157894735</v>
      </c>
      <c r="P11" s="177">
        <v>0.47619047619047622</v>
      </c>
      <c r="Q11" s="175">
        <v>0</v>
      </c>
      <c r="R11" s="317">
        <f t="shared" ref="R11:AE11" si="4">IFERROR(R10/R$4*100,"-")</f>
        <v>5.2854122621564485</v>
      </c>
      <c r="S11" s="317">
        <f t="shared" si="4"/>
        <v>5.9701492537313428</v>
      </c>
      <c r="T11" s="317">
        <f t="shared" si="4"/>
        <v>1.4084507042253522</v>
      </c>
      <c r="U11" s="317">
        <f t="shared" si="4"/>
        <v>2.736842105263158</v>
      </c>
      <c r="V11" s="317">
        <f t="shared" si="4"/>
        <v>3.0232558139534884</v>
      </c>
      <c r="W11" s="317" t="str">
        <f t="shared" si="4"/>
        <v>-</v>
      </c>
      <c r="X11" s="317">
        <f t="shared" si="4"/>
        <v>3.5911602209944751</v>
      </c>
      <c r="Y11" s="317">
        <f t="shared" si="4"/>
        <v>3.3232628398791544</v>
      </c>
      <c r="Z11" s="317">
        <f t="shared" si="4"/>
        <v>6.4516129032258061</v>
      </c>
      <c r="AA11" s="317">
        <f t="shared" si="4"/>
        <v>5.9259259259259265</v>
      </c>
      <c r="AB11" s="317">
        <f t="shared" si="4"/>
        <v>5.2910052910052912</v>
      </c>
      <c r="AC11" s="317">
        <f t="shared" si="4"/>
        <v>14.814814814814813</v>
      </c>
      <c r="AD11" s="317">
        <f t="shared" si="4"/>
        <v>2.4509803921568629</v>
      </c>
      <c r="AE11" s="317">
        <f t="shared" si="4"/>
        <v>2.6525198938992043</v>
      </c>
      <c r="AF11" s="315">
        <v>0</v>
      </c>
    </row>
    <row r="12" spans="1:33" ht="35.1" customHeight="1">
      <c r="A12" s="526" t="s">
        <v>437</v>
      </c>
      <c r="B12" s="175" t="s">
        <v>390</v>
      </c>
      <c r="C12" s="175">
        <v>3</v>
      </c>
      <c r="D12" s="175">
        <v>2</v>
      </c>
      <c r="E12" s="175">
        <v>1</v>
      </c>
      <c r="F12" s="175">
        <v>0</v>
      </c>
      <c r="G12" s="175">
        <v>0</v>
      </c>
      <c r="H12" s="175">
        <v>0</v>
      </c>
      <c r="I12" s="175">
        <v>1</v>
      </c>
      <c r="J12" s="175">
        <v>1</v>
      </c>
      <c r="K12" s="175">
        <v>0</v>
      </c>
      <c r="L12" s="175">
        <v>3</v>
      </c>
      <c r="M12" s="175">
        <v>2</v>
      </c>
      <c r="N12" s="175">
        <v>1</v>
      </c>
      <c r="O12" s="175">
        <v>2</v>
      </c>
      <c r="P12" s="175">
        <v>2</v>
      </c>
      <c r="Q12" s="175">
        <v>0</v>
      </c>
      <c r="R12" s="315" t="s">
        <v>220</v>
      </c>
      <c r="S12" s="315" t="s">
        <v>220</v>
      </c>
      <c r="T12" s="315" t="s">
        <v>49</v>
      </c>
      <c r="U12" s="315" t="s">
        <v>49</v>
      </c>
      <c r="V12" s="315" t="s">
        <v>49</v>
      </c>
      <c r="W12" s="315" t="s">
        <v>49</v>
      </c>
      <c r="X12" s="315">
        <v>2</v>
      </c>
      <c r="Y12" s="315">
        <v>2</v>
      </c>
      <c r="Z12" s="315" t="s">
        <v>49</v>
      </c>
      <c r="AA12" s="315" t="s">
        <v>49</v>
      </c>
      <c r="AB12" s="315" t="s">
        <v>49</v>
      </c>
      <c r="AC12" s="315" t="s">
        <v>49</v>
      </c>
      <c r="AD12" s="315" t="s">
        <v>49</v>
      </c>
      <c r="AE12" s="315" t="s">
        <v>49</v>
      </c>
      <c r="AF12" s="315" t="s">
        <v>49</v>
      </c>
    </row>
    <row r="13" spans="1:33" ht="35.1" customHeight="1">
      <c r="A13" s="526"/>
      <c r="B13" s="177" t="s">
        <v>75</v>
      </c>
      <c r="C13" s="177">
        <v>0.38167938931297707</v>
      </c>
      <c r="D13" s="177">
        <v>0.29282576866764276</v>
      </c>
      <c r="E13" s="177">
        <v>0.97087378640776689</v>
      </c>
      <c r="F13" s="175">
        <v>0</v>
      </c>
      <c r="G13" s="175">
        <v>0</v>
      </c>
      <c r="H13" s="175">
        <v>0</v>
      </c>
      <c r="I13" s="177">
        <v>0.12004801920768307</v>
      </c>
      <c r="J13" s="177">
        <v>0.14104372355430184</v>
      </c>
      <c r="K13" s="175">
        <v>0</v>
      </c>
      <c r="L13" s="177">
        <v>0.40650406504065045</v>
      </c>
      <c r="M13" s="177">
        <v>0.31446540880503149</v>
      </c>
      <c r="N13" s="177">
        <v>0.98039215686274506</v>
      </c>
      <c r="O13" s="177">
        <v>0.42105263157894735</v>
      </c>
      <c r="P13" s="177">
        <v>0.47619047619047622</v>
      </c>
      <c r="Q13" s="175">
        <v>0</v>
      </c>
      <c r="R13" s="317" t="str">
        <f t="shared" ref="R13:AF13" si="5">IFERROR(R12/R$4*100,"-")</f>
        <v>-</v>
      </c>
      <c r="S13" s="317" t="str">
        <f t="shared" si="5"/>
        <v>-</v>
      </c>
      <c r="T13" s="317" t="str">
        <f t="shared" si="5"/>
        <v>-</v>
      </c>
      <c r="U13" s="317" t="str">
        <f t="shared" si="5"/>
        <v>-</v>
      </c>
      <c r="V13" s="317" t="str">
        <f t="shared" si="5"/>
        <v>-</v>
      </c>
      <c r="W13" s="317" t="str">
        <f t="shared" si="5"/>
        <v>-</v>
      </c>
      <c r="X13" s="317">
        <f t="shared" si="5"/>
        <v>0.55248618784530379</v>
      </c>
      <c r="Y13" s="317">
        <f t="shared" si="5"/>
        <v>0.60422960725075525</v>
      </c>
      <c r="Z13" s="317" t="str">
        <f t="shared" si="5"/>
        <v>-</v>
      </c>
      <c r="AA13" s="317" t="str">
        <f t="shared" si="5"/>
        <v>-</v>
      </c>
      <c r="AB13" s="317" t="str">
        <f t="shared" si="5"/>
        <v>-</v>
      </c>
      <c r="AC13" s="317" t="str">
        <f t="shared" si="5"/>
        <v>-</v>
      </c>
      <c r="AD13" s="317" t="str">
        <f t="shared" si="5"/>
        <v>-</v>
      </c>
      <c r="AE13" s="317" t="str">
        <f t="shared" si="5"/>
        <v>-</v>
      </c>
      <c r="AF13" s="317" t="str">
        <f t="shared" si="5"/>
        <v>-</v>
      </c>
    </row>
    <row r="14" spans="1:33" ht="35.1" customHeight="1">
      <c r="A14" s="526" t="s">
        <v>436</v>
      </c>
      <c r="B14" s="175" t="s">
        <v>390</v>
      </c>
      <c r="C14" s="175">
        <v>1</v>
      </c>
      <c r="D14" s="175">
        <v>1</v>
      </c>
      <c r="E14" s="175">
        <v>0</v>
      </c>
      <c r="F14" s="175">
        <v>0</v>
      </c>
      <c r="G14" s="175">
        <v>0</v>
      </c>
      <c r="H14" s="175">
        <v>0</v>
      </c>
      <c r="I14" s="175">
        <v>0</v>
      </c>
      <c r="J14" s="175">
        <v>0</v>
      </c>
      <c r="K14" s="175">
        <v>0</v>
      </c>
      <c r="L14" s="175">
        <v>1</v>
      </c>
      <c r="M14" s="175">
        <v>1</v>
      </c>
      <c r="N14" s="175">
        <v>0</v>
      </c>
      <c r="O14" s="175">
        <v>0</v>
      </c>
      <c r="P14" s="175">
        <v>0</v>
      </c>
      <c r="Q14" s="175">
        <v>0</v>
      </c>
      <c r="R14" s="315">
        <v>1</v>
      </c>
      <c r="S14" s="315">
        <v>1</v>
      </c>
      <c r="T14" s="315" t="s">
        <v>49</v>
      </c>
      <c r="U14" s="315" t="s">
        <v>220</v>
      </c>
      <c r="V14" s="315" t="s">
        <v>220</v>
      </c>
      <c r="W14" s="315" t="s">
        <v>49</v>
      </c>
      <c r="X14" s="315" t="s">
        <v>49</v>
      </c>
      <c r="Y14" s="315" t="s">
        <v>49</v>
      </c>
      <c r="Z14" s="315" t="s">
        <v>49</v>
      </c>
      <c r="AA14" s="315" t="s">
        <v>49</v>
      </c>
      <c r="AB14" s="315" t="s">
        <v>49</v>
      </c>
      <c r="AC14" s="315" t="s">
        <v>49</v>
      </c>
      <c r="AD14" s="315" t="s">
        <v>49</v>
      </c>
      <c r="AE14" s="315" t="s">
        <v>49</v>
      </c>
      <c r="AF14" s="315" t="s">
        <v>49</v>
      </c>
    </row>
    <row r="15" spans="1:33" ht="35.1" customHeight="1">
      <c r="A15" s="532"/>
      <c r="B15" s="173" t="s">
        <v>75</v>
      </c>
      <c r="C15" s="173">
        <v>0.1272264631043257</v>
      </c>
      <c r="D15" s="173">
        <v>0.14641288433382138</v>
      </c>
      <c r="E15" s="175">
        <v>0</v>
      </c>
      <c r="F15" s="175">
        <v>0</v>
      </c>
      <c r="G15" s="175">
        <v>0</v>
      </c>
      <c r="H15" s="175">
        <v>0</v>
      </c>
      <c r="I15" s="175">
        <v>0</v>
      </c>
      <c r="J15" s="175">
        <v>0</v>
      </c>
      <c r="K15" s="175">
        <v>0</v>
      </c>
      <c r="L15" s="173">
        <v>0.13550135501355012</v>
      </c>
      <c r="M15" s="173">
        <v>0.15723270440251574</v>
      </c>
      <c r="N15" s="175">
        <v>0</v>
      </c>
      <c r="O15" s="175">
        <v>0</v>
      </c>
      <c r="P15" s="175">
        <v>0</v>
      </c>
      <c r="Q15" s="324">
        <v>0</v>
      </c>
      <c r="R15" s="319">
        <f t="shared" ref="R15:AF15" si="6">IFERROR(R14/R$4*100,"-")</f>
        <v>0.21141649048625794</v>
      </c>
      <c r="S15" s="319">
        <f t="shared" si="6"/>
        <v>0.24875621890547264</v>
      </c>
      <c r="T15" s="319" t="str">
        <f t="shared" si="6"/>
        <v>-</v>
      </c>
      <c r="U15" s="319" t="str">
        <f t="shared" si="6"/>
        <v>-</v>
      </c>
      <c r="V15" s="319" t="str">
        <f t="shared" si="6"/>
        <v>-</v>
      </c>
      <c r="W15" s="319" t="str">
        <f t="shared" si="6"/>
        <v>-</v>
      </c>
      <c r="X15" s="319" t="str">
        <f t="shared" si="6"/>
        <v>-</v>
      </c>
      <c r="Y15" s="319" t="str">
        <f t="shared" si="6"/>
        <v>-</v>
      </c>
      <c r="Z15" s="319" t="str">
        <f t="shared" si="6"/>
        <v>-</v>
      </c>
      <c r="AA15" s="319" t="str">
        <f t="shared" si="6"/>
        <v>-</v>
      </c>
      <c r="AB15" s="319" t="str">
        <f t="shared" si="6"/>
        <v>-</v>
      </c>
      <c r="AC15" s="319" t="str">
        <f t="shared" si="6"/>
        <v>-</v>
      </c>
      <c r="AD15" s="319" t="str">
        <f t="shared" si="6"/>
        <v>-</v>
      </c>
      <c r="AE15" s="319" t="str">
        <f t="shared" si="6"/>
        <v>-</v>
      </c>
      <c r="AF15" s="319" t="str">
        <f t="shared" si="6"/>
        <v>-</v>
      </c>
    </row>
    <row r="16" spans="1:33" ht="14.1" customHeight="1">
      <c r="A16" s="556" t="s">
        <v>378</v>
      </c>
      <c r="B16" s="556"/>
      <c r="C16" s="556"/>
      <c r="D16" s="556"/>
      <c r="E16" s="556"/>
      <c r="F16" s="556"/>
      <c r="G16" s="556"/>
      <c r="H16" s="556"/>
      <c r="I16" s="556"/>
      <c r="J16" s="556"/>
      <c r="K16" s="556"/>
      <c r="L16" s="556"/>
      <c r="M16" s="556"/>
      <c r="N16" s="556"/>
      <c r="O16" s="556"/>
      <c r="P16" s="556"/>
      <c r="Q16" s="179"/>
      <c r="R16" s="183"/>
      <c r="S16" s="183"/>
      <c r="T16" s="183"/>
      <c r="U16" s="183"/>
      <c r="V16" s="183"/>
      <c r="W16" s="183"/>
      <c r="X16" s="183"/>
      <c r="Y16" s="183"/>
      <c r="Z16" s="183"/>
      <c r="AA16" s="183"/>
      <c r="AB16" s="183"/>
      <c r="AC16" s="183"/>
      <c r="AD16" s="157"/>
      <c r="AE16" s="157"/>
      <c r="AF16" s="157"/>
    </row>
    <row r="17" spans="1:32" ht="29.1" customHeight="1">
      <c r="A17" s="554" t="s">
        <v>755</v>
      </c>
      <c r="B17" s="554"/>
      <c r="C17" s="554"/>
      <c r="D17" s="554"/>
      <c r="E17" s="554"/>
      <c r="F17" s="554"/>
      <c r="G17" s="554"/>
      <c r="H17" s="554"/>
      <c r="I17" s="554"/>
      <c r="J17" s="554"/>
      <c r="K17" s="554"/>
      <c r="L17" s="554"/>
      <c r="M17" s="554"/>
      <c r="N17" s="554"/>
      <c r="O17" s="554"/>
      <c r="P17" s="554"/>
      <c r="Q17" s="554"/>
      <c r="R17" s="554"/>
      <c r="S17" s="554"/>
      <c r="T17" s="554"/>
      <c r="U17" s="554"/>
      <c r="V17" s="554"/>
      <c r="W17" s="554"/>
      <c r="X17" s="554"/>
      <c r="Y17" s="554"/>
      <c r="Z17" s="554"/>
      <c r="AA17" s="554"/>
      <c r="AB17" s="554"/>
      <c r="AC17" s="554"/>
      <c r="AD17" s="554"/>
      <c r="AE17" s="554"/>
      <c r="AF17" s="554"/>
    </row>
  </sheetData>
  <mergeCells count="20">
    <mergeCell ref="A17:AF17"/>
    <mergeCell ref="A4:A5"/>
    <mergeCell ref="A6:A7"/>
    <mergeCell ref="A8:A9"/>
    <mergeCell ref="A10:A11"/>
    <mergeCell ref="A12:A13"/>
    <mergeCell ref="A14:A15"/>
    <mergeCell ref="A16:P16"/>
    <mergeCell ref="A1:AF1"/>
    <mergeCell ref="A2:B3"/>
    <mergeCell ref="R2:T2"/>
    <mergeCell ref="U2:W2"/>
    <mergeCell ref="X2:Z2"/>
    <mergeCell ref="AA2:AC2"/>
    <mergeCell ref="AD2:AF2"/>
    <mergeCell ref="C2:E2"/>
    <mergeCell ref="F2:H2"/>
    <mergeCell ref="I2:K2"/>
    <mergeCell ref="L2:N2"/>
    <mergeCell ref="O2:Q2"/>
  </mergeCells>
  <phoneticPr fontId="37" type="noConversion"/>
  <hyperlinks>
    <hyperlink ref="AG1" location="本篇表次!A1" display="回本篇表次"/>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G13"/>
  <sheetViews>
    <sheetView showGridLines="0" zoomScale="120" zoomScaleNormal="120" workbookViewId="0">
      <selection sqref="A1:AF1"/>
    </sheetView>
  </sheetViews>
  <sheetFormatPr defaultColWidth="9.875" defaultRowHeight="16.5"/>
  <cols>
    <col min="1" max="1" width="8.75" customWidth="1"/>
    <col min="2" max="2" width="3.5" bestFit="1" customWidth="1"/>
    <col min="3" max="32" width="8.625" customWidth="1"/>
    <col min="33" max="33" width="12.625" bestFit="1" customWidth="1"/>
  </cols>
  <sheetData>
    <row r="1" spans="1:33" ht="30" customHeight="1">
      <c r="A1" s="543" t="s">
        <v>757</v>
      </c>
      <c r="B1" s="543"/>
      <c r="C1" s="543"/>
      <c r="D1" s="543"/>
      <c r="E1" s="543"/>
      <c r="F1" s="543"/>
      <c r="G1" s="543"/>
      <c r="H1" s="543"/>
      <c r="I1" s="543"/>
      <c r="J1" s="543"/>
      <c r="K1" s="543"/>
      <c r="L1" s="543"/>
      <c r="M1" s="543"/>
      <c r="N1" s="543"/>
      <c r="O1" s="543"/>
      <c r="P1" s="543"/>
      <c r="Q1" s="543"/>
      <c r="R1" s="543"/>
      <c r="S1" s="543"/>
      <c r="T1" s="543"/>
      <c r="U1" s="543"/>
      <c r="V1" s="543"/>
      <c r="W1" s="543"/>
      <c r="X1" s="543"/>
      <c r="Y1" s="543"/>
      <c r="Z1" s="543"/>
      <c r="AA1" s="543"/>
      <c r="AB1" s="543"/>
      <c r="AC1" s="543"/>
      <c r="AD1" s="544"/>
      <c r="AE1" s="544"/>
      <c r="AF1" s="544"/>
      <c r="AG1" s="242" t="s">
        <v>548</v>
      </c>
    </row>
    <row r="2" spans="1:33" ht="30" customHeight="1">
      <c r="A2" s="528"/>
      <c r="B2" s="528"/>
      <c r="C2" s="529" t="s">
        <v>739</v>
      </c>
      <c r="D2" s="529"/>
      <c r="E2" s="529"/>
      <c r="F2" s="529" t="s">
        <v>740</v>
      </c>
      <c r="G2" s="529"/>
      <c r="H2" s="529"/>
      <c r="I2" s="529" t="s">
        <v>741</v>
      </c>
      <c r="J2" s="529"/>
      <c r="K2" s="529"/>
      <c r="L2" s="529" t="s">
        <v>742</v>
      </c>
      <c r="M2" s="529"/>
      <c r="N2" s="529"/>
      <c r="O2" s="529" t="s">
        <v>743</v>
      </c>
      <c r="P2" s="529"/>
      <c r="Q2" s="529"/>
      <c r="R2" s="529" t="s">
        <v>375</v>
      </c>
      <c r="S2" s="529"/>
      <c r="T2" s="529"/>
      <c r="U2" s="529" t="s">
        <v>163</v>
      </c>
      <c r="V2" s="529"/>
      <c r="W2" s="529"/>
      <c r="X2" s="529" t="s">
        <v>388</v>
      </c>
      <c r="Y2" s="529"/>
      <c r="Z2" s="529"/>
      <c r="AA2" s="529" t="s">
        <v>45</v>
      </c>
      <c r="AB2" s="529"/>
      <c r="AC2" s="529"/>
      <c r="AD2" s="529" t="s">
        <v>619</v>
      </c>
      <c r="AE2" s="529"/>
      <c r="AF2" s="529"/>
    </row>
    <row r="3" spans="1:33" ht="30" customHeight="1">
      <c r="A3" s="526"/>
      <c r="B3" s="526"/>
      <c r="C3" s="162" t="s">
        <v>428</v>
      </c>
      <c r="D3" s="162" t="s">
        <v>427</v>
      </c>
      <c r="E3" s="162" t="s">
        <v>426</v>
      </c>
      <c r="F3" s="162" t="s">
        <v>428</v>
      </c>
      <c r="G3" s="162" t="s">
        <v>427</v>
      </c>
      <c r="H3" s="162" t="s">
        <v>426</v>
      </c>
      <c r="I3" s="162" t="s">
        <v>428</v>
      </c>
      <c r="J3" s="162" t="s">
        <v>427</v>
      </c>
      <c r="K3" s="162" t="s">
        <v>426</v>
      </c>
      <c r="L3" s="162" t="s">
        <v>428</v>
      </c>
      <c r="M3" s="162" t="s">
        <v>427</v>
      </c>
      <c r="N3" s="162" t="s">
        <v>426</v>
      </c>
      <c r="O3" s="162" t="s">
        <v>428</v>
      </c>
      <c r="P3" s="162" t="s">
        <v>427</v>
      </c>
      <c r="Q3" s="162" t="s">
        <v>426</v>
      </c>
      <c r="R3" s="162" t="s">
        <v>428</v>
      </c>
      <c r="S3" s="162" t="s">
        <v>427</v>
      </c>
      <c r="T3" s="162" t="s">
        <v>426</v>
      </c>
      <c r="U3" s="162" t="s">
        <v>428</v>
      </c>
      <c r="V3" s="162" t="s">
        <v>427</v>
      </c>
      <c r="W3" s="162" t="s">
        <v>426</v>
      </c>
      <c r="X3" s="162" t="s">
        <v>428</v>
      </c>
      <c r="Y3" s="162" t="s">
        <v>427</v>
      </c>
      <c r="Z3" s="162" t="s">
        <v>426</v>
      </c>
      <c r="AA3" s="162" t="s">
        <v>428</v>
      </c>
      <c r="AB3" s="162" t="s">
        <v>427</v>
      </c>
      <c r="AC3" s="162" t="s">
        <v>426</v>
      </c>
      <c r="AD3" s="162" t="s">
        <v>428</v>
      </c>
      <c r="AE3" s="162" t="s">
        <v>427</v>
      </c>
      <c r="AF3" s="162" t="s">
        <v>426</v>
      </c>
    </row>
    <row r="4" spans="1:33" ht="42" customHeight="1">
      <c r="A4" s="526" t="s">
        <v>446</v>
      </c>
      <c r="B4" s="166" t="s">
        <v>417</v>
      </c>
      <c r="C4" s="310">
        <v>786</v>
      </c>
      <c r="D4" s="310">
        <v>683</v>
      </c>
      <c r="E4" s="310">
        <v>103</v>
      </c>
      <c r="F4" s="310">
        <v>825</v>
      </c>
      <c r="G4" s="310">
        <v>724</v>
      </c>
      <c r="H4" s="310">
        <v>101</v>
      </c>
      <c r="I4" s="310">
        <v>833</v>
      </c>
      <c r="J4" s="310">
        <v>709</v>
      </c>
      <c r="K4" s="310">
        <v>124</v>
      </c>
      <c r="L4" s="310">
        <v>738</v>
      </c>
      <c r="M4" s="310">
        <v>636</v>
      </c>
      <c r="N4" s="310">
        <v>102</v>
      </c>
      <c r="O4" s="310">
        <v>475</v>
      </c>
      <c r="P4" s="310">
        <v>420</v>
      </c>
      <c r="Q4" s="310">
        <v>55</v>
      </c>
      <c r="R4" s="310">
        <f t="shared" ref="R4:AF4" si="0">SUM(R8,R6,R10)</f>
        <v>473</v>
      </c>
      <c r="S4" s="310">
        <f t="shared" si="0"/>
        <v>402</v>
      </c>
      <c r="T4" s="310">
        <f t="shared" si="0"/>
        <v>71</v>
      </c>
      <c r="U4" s="310">
        <f t="shared" si="0"/>
        <v>475</v>
      </c>
      <c r="V4" s="310">
        <f t="shared" si="0"/>
        <v>430</v>
      </c>
      <c r="W4" s="310">
        <f t="shared" si="0"/>
        <v>45</v>
      </c>
      <c r="X4" s="310">
        <f t="shared" si="0"/>
        <v>362</v>
      </c>
      <c r="Y4" s="310">
        <f t="shared" si="0"/>
        <v>331</v>
      </c>
      <c r="Z4" s="311">
        <f t="shared" si="0"/>
        <v>31</v>
      </c>
      <c r="AA4" s="310">
        <f t="shared" si="0"/>
        <v>405</v>
      </c>
      <c r="AB4" s="310">
        <f t="shared" si="0"/>
        <v>378</v>
      </c>
      <c r="AC4" s="311">
        <f t="shared" si="0"/>
        <v>27</v>
      </c>
      <c r="AD4" s="311">
        <f t="shared" si="0"/>
        <v>408</v>
      </c>
      <c r="AE4" s="311">
        <f t="shared" si="0"/>
        <v>377</v>
      </c>
      <c r="AF4" s="311">
        <f t="shared" si="0"/>
        <v>31</v>
      </c>
    </row>
    <row r="5" spans="1:33" ht="42" customHeight="1">
      <c r="A5" s="526"/>
      <c r="B5" s="166" t="s">
        <v>75</v>
      </c>
      <c r="C5" s="312">
        <v>100</v>
      </c>
      <c r="D5" s="312">
        <v>100</v>
      </c>
      <c r="E5" s="312">
        <v>100</v>
      </c>
      <c r="F5" s="312">
        <v>100</v>
      </c>
      <c r="G5" s="312">
        <v>100</v>
      </c>
      <c r="H5" s="312">
        <v>100</v>
      </c>
      <c r="I5" s="312">
        <v>100</v>
      </c>
      <c r="J5" s="312">
        <v>100</v>
      </c>
      <c r="K5" s="312">
        <v>100</v>
      </c>
      <c r="L5" s="312">
        <v>100</v>
      </c>
      <c r="M5" s="312">
        <v>100</v>
      </c>
      <c r="N5" s="312">
        <v>100</v>
      </c>
      <c r="O5" s="312">
        <v>100</v>
      </c>
      <c r="P5" s="312">
        <v>100</v>
      </c>
      <c r="Q5" s="312">
        <v>100</v>
      </c>
      <c r="R5" s="312">
        <f t="shared" ref="R5:AF5" si="1">SUM(R9,R7,R11)</f>
        <v>100</v>
      </c>
      <c r="S5" s="312">
        <f t="shared" si="1"/>
        <v>100</v>
      </c>
      <c r="T5" s="312">
        <f t="shared" si="1"/>
        <v>100</v>
      </c>
      <c r="U5" s="312">
        <f t="shared" si="1"/>
        <v>100</v>
      </c>
      <c r="V5" s="312">
        <f t="shared" si="1"/>
        <v>100.00000000000001</v>
      </c>
      <c r="W5" s="312">
        <f t="shared" si="1"/>
        <v>99.999999999999986</v>
      </c>
      <c r="X5" s="312">
        <f t="shared" si="1"/>
        <v>100</v>
      </c>
      <c r="Y5" s="312">
        <f t="shared" si="1"/>
        <v>99.999999999999986</v>
      </c>
      <c r="Z5" s="312">
        <f t="shared" si="1"/>
        <v>100</v>
      </c>
      <c r="AA5" s="312">
        <f t="shared" si="1"/>
        <v>99.999999999999986</v>
      </c>
      <c r="AB5" s="312">
        <f t="shared" si="1"/>
        <v>100</v>
      </c>
      <c r="AC5" s="312">
        <f t="shared" si="1"/>
        <v>100</v>
      </c>
      <c r="AD5" s="312">
        <f t="shared" si="1"/>
        <v>100</v>
      </c>
      <c r="AE5" s="312">
        <f t="shared" si="1"/>
        <v>100</v>
      </c>
      <c r="AF5" s="312">
        <f t="shared" si="1"/>
        <v>100</v>
      </c>
    </row>
    <row r="6" spans="1:33" ht="42" customHeight="1">
      <c r="A6" s="526" t="s">
        <v>445</v>
      </c>
      <c r="B6" s="166" t="s">
        <v>417</v>
      </c>
      <c r="C6" s="310">
        <v>662</v>
      </c>
      <c r="D6" s="310">
        <v>574</v>
      </c>
      <c r="E6" s="310">
        <v>88</v>
      </c>
      <c r="F6" s="310">
        <v>690</v>
      </c>
      <c r="G6" s="310">
        <v>611</v>
      </c>
      <c r="H6" s="310">
        <v>79</v>
      </c>
      <c r="I6" s="310">
        <v>716</v>
      </c>
      <c r="J6" s="310">
        <v>613</v>
      </c>
      <c r="K6" s="310">
        <v>103</v>
      </c>
      <c r="L6" s="310">
        <v>563</v>
      </c>
      <c r="M6" s="310">
        <v>491</v>
      </c>
      <c r="N6" s="310">
        <v>72</v>
      </c>
      <c r="O6" s="310">
        <v>399</v>
      </c>
      <c r="P6" s="310">
        <v>360</v>
      </c>
      <c r="Q6" s="310">
        <v>39</v>
      </c>
      <c r="R6" s="310">
        <v>376</v>
      </c>
      <c r="S6" s="310">
        <v>322</v>
      </c>
      <c r="T6" s="310">
        <v>54</v>
      </c>
      <c r="U6" s="310">
        <v>368</v>
      </c>
      <c r="V6" s="310">
        <v>338</v>
      </c>
      <c r="W6" s="310">
        <v>30</v>
      </c>
      <c r="X6" s="310">
        <v>278</v>
      </c>
      <c r="Y6" s="310">
        <v>262</v>
      </c>
      <c r="Z6" s="310">
        <v>16</v>
      </c>
      <c r="AA6" s="310">
        <v>309</v>
      </c>
      <c r="AB6" s="310">
        <v>290</v>
      </c>
      <c r="AC6" s="310">
        <v>19</v>
      </c>
      <c r="AD6" s="310">
        <v>317</v>
      </c>
      <c r="AE6" s="310">
        <v>298</v>
      </c>
      <c r="AF6" s="310">
        <v>19</v>
      </c>
    </row>
    <row r="7" spans="1:33" ht="42" customHeight="1">
      <c r="A7" s="526"/>
      <c r="B7" s="166" t="s">
        <v>75</v>
      </c>
      <c r="C7" s="312">
        <v>84.223918575063621</v>
      </c>
      <c r="D7" s="312">
        <v>84.040995607613468</v>
      </c>
      <c r="E7" s="312">
        <v>85.436893203883486</v>
      </c>
      <c r="F7" s="312">
        <v>83.636363636363626</v>
      </c>
      <c r="G7" s="312">
        <v>84.392265193370164</v>
      </c>
      <c r="H7" s="312">
        <v>78.21782178217822</v>
      </c>
      <c r="I7" s="312">
        <v>85.954381752701082</v>
      </c>
      <c r="J7" s="312">
        <v>86.459802538787017</v>
      </c>
      <c r="K7" s="312">
        <v>83.064516129032256</v>
      </c>
      <c r="L7" s="312">
        <v>76.28726287262873</v>
      </c>
      <c r="M7" s="312">
        <v>77.201257861635213</v>
      </c>
      <c r="N7" s="312">
        <v>70.588235294117652</v>
      </c>
      <c r="O7" s="312">
        <v>84</v>
      </c>
      <c r="P7" s="312">
        <v>85.714285714285708</v>
      </c>
      <c r="Q7" s="312">
        <v>70.909090909090907</v>
      </c>
      <c r="R7" s="312">
        <f t="shared" ref="R7:AF7" si="2">IFERROR(R6/R$4*100,"-")</f>
        <v>79.492600422832979</v>
      </c>
      <c r="S7" s="312">
        <f t="shared" si="2"/>
        <v>80.099502487562191</v>
      </c>
      <c r="T7" s="312">
        <f t="shared" si="2"/>
        <v>76.056338028169009</v>
      </c>
      <c r="U7" s="312">
        <f t="shared" si="2"/>
        <v>77.473684210526315</v>
      </c>
      <c r="V7" s="312">
        <f t="shared" si="2"/>
        <v>78.604651162790702</v>
      </c>
      <c r="W7" s="312">
        <f t="shared" si="2"/>
        <v>66.666666666666657</v>
      </c>
      <c r="X7" s="312">
        <f t="shared" si="2"/>
        <v>76.795580110497241</v>
      </c>
      <c r="Y7" s="312">
        <f t="shared" si="2"/>
        <v>79.154078549848933</v>
      </c>
      <c r="Z7" s="312">
        <f t="shared" si="2"/>
        <v>51.612903225806448</v>
      </c>
      <c r="AA7" s="312">
        <f t="shared" si="2"/>
        <v>76.296296296296291</v>
      </c>
      <c r="AB7" s="312">
        <f t="shared" si="2"/>
        <v>76.719576719576722</v>
      </c>
      <c r="AC7" s="312">
        <f t="shared" si="2"/>
        <v>70.370370370370367</v>
      </c>
      <c r="AD7" s="312">
        <f t="shared" si="2"/>
        <v>77.696078431372555</v>
      </c>
      <c r="AE7" s="312">
        <f t="shared" si="2"/>
        <v>79.045092838196283</v>
      </c>
      <c r="AF7" s="312">
        <f t="shared" si="2"/>
        <v>61.29032258064516</v>
      </c>
    </row>
    <row r="8" spans="1:33" ht="42" customHeight="1">
      <c r="A8" s="526" t="s">
        <v>444</v>
      </c>
      <c r="B8" s="166" t="s">
        <v>417</v>
      </c>
      <c r="C8" s="310">
        <v>119</v>
      </c>
      <c r="D8" s="310">
        <v>104</v>
      </c>
      <c r="E8" s="310">
        <v>15</v>
      </c>
      <c r="F8" s="310">
        <v>131</v>
      </c>
      <c r="G8" s="310">
        <v>111</v>
      </c>
      <c r="H8" s="310">
        <v>20</v>
      </c>
      <c r="I8" s="310">
        <v>115</v>
      </c>
      <c r="J8" s="310">
        <v>95</v>
      </c>
      <c r="K8" s="310">
        <v>20</v>
      </c>
      <c r="L8" s="310">
        <v>161</v>
      </c>
      <c r="M8" s="310">
        <v>132</v>
      </c>
      <c r="N8" s="310">
        <v>29</v>
      </c>
      <c r="O8" s="310">
        <v>72</v>
      </c>
      <c r="P8" s="310">
        <v>58</v>
      </c>
      <c r="Q8" s="310">
        <v>14</v>
      </c>
      <c r="R8" s="310">
        <v>90</v>
      </c>
      <c r="S8" s="310">
        <v>73</v>
      </c>
      <c r="T8" s="310">
        <v>17</v>
      </c>
      <c r="U8" s="310">
        <v>102</v>
      </c>
      <c r="V8" s="310">
        <v>87</v>
      </c>
      <c r="W8" s="310">
        <v>15</v>
      </c>
      <c r="X8" s="310">
        <v>78</v>
      </c>
      <c r="Y8" s="310">
        <v>63</v>
      </c>
      <c r="Z8" s="310">
        <v>15</v>
      </c>
      <c r="AA8" s="310">
        <v>88</v>
      </c>
      <c r="AB8" s="310">
        <v>80</v>
      </c>
      <c r="AC8" s="310">
        <v>8</v>
      </c>
      <c r="AD8" s="310">
        <v>85</v>
      </c>
      <c r="AE8" s="310">
        <v>73</v>
      </c>
      <c r="AF8" s="310">
        <v>12</v>
      </c>
    </row>
    <row r="9" spans="1:33" ht="42" customHeight="1">
      <c r="A9" s="526"/>
      <c r="B9" s="166" t="s">
        <v>75</v>
      </c>
      <c r="C9" s="312">
        <v>15.139949109414758</v>
      </c>
      <c r="D9" s="312">
        <v>15.226939970717424</v>
      </c>
      <c r="E9" s="312">
        <v>14.563106796116504</v>
      </c>
      <c r="F9" s="312">
        <v>15.878787878787879</v>
      </c>
      <c r="G9" s="312">
        <v>15.331491712707182</v>
      </c>
      <c r="H9" s="312">
        <v>19.801980198019802</v>
      </c>
      <c r="I9" s="312">
        <v>13.805522208883552</v>
      </c>
      <c r="J9" s="312">
        <v>13.399153737658676</v>
      </c>
      <c r="K9" s="312">
        <v>16.129032258064516</v>
      </c>
      <c r="L9" s="312">
        <v>21.815718157181571</v>
      </c>
      <c r="M9" s="312">
        <v>20.754716981132077</v>
      </c>
      <c r="N9" s="312">
        <v>28.431372549019606</v>
      </c>
      <c r="O9" s="312">
        <v>15.157894736842106</v>
      </c>
      <c r="P9" s="312">
        <v>13.80952380952381</v>
      </c>
      <c r="Q9" s="312">
        <v>25.454545454545453</v>
      </c>
      <c r="R9" s="312">
        <f t="shared" ref="R9:AF9" si="3">IFERROR(R8/R$4*100,"-")</f>
        <v>19.027484143763214</v>
      </c>
      <c r="S9" s="312">
        <f t="shared" si="3"/>
        <v>18.159203980099502</v>
      </c>
      <c r="T9" s="312">
        <f t="shared" si="3"/>
        <v>23.943661971830984</v>
      </c>
      <c r="U9" s="312">
        <f t="shared" si="3"/>
        <v>21.473684210526319</v>
      </c>
      <c r="V9" s="312">
        <f t="shared" si="3"/>
        <v>20.232558139534884</v>
      </c>
      <c r="W9" s="312">
        <f t="shared" si="3"/>
        <v>33.333333333333329</v>
      </c>
      <c r="X9" s="312">
        <f t="shared" si="3"/>
        <v>21.546961325966851</v>
      </c>
      <c r="Y9" s="312">
        <f t="shared" si="3"/>
        <v>19.033232628398792</v>
      </c>
      <c r="Z9" s="312">
        <f t="shared" si="3"/>
        <v>48.387096774193552</v>
      </c>
      <c r="AA9" s="312">
        <f t="shared" si="3"/>
        <v>21.728395061728396</v>
      </c>
      <c r="AB9" s="312">
        <f t="shared" si="3"/>
        <v>21.164021164021165</v>
      </c>
      <c r="AC9" s="312">
        <f t="shared" si="3"/>
        <v>29.629629629629626</v>
      </c>
      <c r="AD9" s="312">
        <f t="shared" si="3"/>
        <v>20.833333333333336</v>
      </c>
      <c r="AE9" s="312">
        <f t="shared" si="3"/>
        <v>19.363395225464192</v>
      </c>
      <c r="AF9" s="312">
        <f t="shared" si="3"/>
        <v>38.70967741935484</v>
      </c>
    </row>
    <row r="10" spans="1:33" ht="42" customHeight="1">
      <c r="A10" s="526" t="s">
        <v>443</v>
      </c>
      <c r="B10" s="166" t="s">
        <v>417</v>
      </c>
      <c r="C10" s="310">
        <v>5</v>
      </c>
      <c r="D10" s="310">
        <v>5</v>
      </c>
      <c r="E10" s="310">
        <v>0</v>
      </c>
      <c r="F10" s="310">
        <v>4</v>
      </c>
      <c r="G10" s="310">
        <v>2</v>
      </c>
      <c r="H10" s="310">
        <v>2</v>
      </c>
      <c r="I10" s="310">
        <v>2</v>
      </c>
      <c r="J10" s="310">
        <v>1</v>
      </c>
      <c r="K10" s="310">
        <v>1</v>
      </c>
      <c r="L10" s="310">
        <v>14</v>
      </c>
      <c r="M10" s="310">
        <v>13</v>
      </c>
      <c r="N10" s="310">
        <v>1</v>
      </c>
      <c r="O10" s="310">
        <v>4</v>
      </c>
      <c r="P10" s="310">
        <v>2</v>
      </c>
      <c r="Q10" s="310">
        <v>2</v>
      </c>
      <c r="R10" s="310">
        <v>7</v>
      </c>
      <c r="S10" s="310">
        <v>7</v>
      </c>
      <c r="T10" s="310" t="s">
        <v>49</v>
      </c>
      <c r="U10" s="310">
        <v>5</v>
      </c>
      <c r="V10" s="310">
        <v>5</v>
      </c>
      <c r="W10" s="310" t="s">
        <v>49</v>
      </c>
      <c r="X10" s="310">
        <v>6</v>
      </c>
      <c r="Y10" s="310">
        <v>6</v>
      </c>
      <c r="Z10" s="310" t="s">
        <v>49</v>
      </c>
      <c r="AA10" s="310">
        <v>8</v>
      </c>
      <c r="AB10" s="310">
        <v>8</v>
      </c>
      <c r="AC10" s="310">
        <v>0</v>
      </c>
      <c r="AD10" s="310">
        <v>6</v>
      </c>
      <c r="AE10" s="310">
        <v>6</v>
      </c>
      <c r="AF10" s="310">
        <v>0</v>
      </c>
    </row>
    <row r="11" spans="1:33" ht="42" customHeight="1">
      <c r="A11" s="532"/>
      <c r="B11" s="162" t="s">
        <v>75</v>
      </c>
      <c r="C11" s="313">
        <v>0.63613231552162841</v>
      </c>
      <c r="D11" s="313">
        <v>0.7320644216691069</v>
      </c>
      <c r="E11" s="313">
        <v>0</v>
      </c>
      <c r="F11" s="313">
        <v>0.48484848484848486</v>
      </c>
      <c r="G11" s="313">
        <v>0.27624309392265189</v>
      </c>
      <c r="H11" s="313">
        <v>1.9801980198019802</v>
      </c>
      <c r="I11" s="313">
        <v>0.24009603841536614</v>
      </c>
      <c r="J11" s="313">
        <v>0.14104372355430184</v>
      </c>
      <c r="K11" s="313">
        <v>0.80645161290322576</v>
      </c>
      <c r="L11" s="313">
        <v>1.8970189701897018</v>
      </c>
      <c r="M11" s="313">
        <v>2.0440251572327042</v>
      </c>
      <c r="N11" s="313">
        <v>0.98039215686274506</v>
      </c>
      <c r="O11" s="313">
        <v>0.84210526315789469</v>
      </c>
      <c r="P11" s="313">
        <v>0.47619047619047622</v>
      </c>
      <c r="Q11" s="313">
        <v>3.6363636363636362</v>
      </c>
      <c r="R11" s="313">
        <f t="shared" ref="R11:AC11" si="4">IFERROR(R10/R$4*100,"-")</f>
        <v>1.4799154334038054</v>
      </c>
      <c r="S11" s="313">
        <f t="shared" si="4"/>
        <v>1.7412935323383085</v>
      </c>
      <c r="T11" s="313" t="str">
        <f t="shared" si="4"/>
        <v>-</v>
      </c>
      <c r="U11" s="313">
        <f t="shared" si="4"/>
        <v>1.0526315789473684</v>
      </c>
      <c r="V11" s="313">
        <f t="shared" si="4"/>
        <v>1.1627906976744187</v>
      </c>
      <c r="W11" s="313" t="str">
        <f t="shared" si="4"/>
        <v>-</v>
      </c>
      <c r="X11" s="313">
        <f t="shared" si="4"/>
        <v>1.6574585635359116</v>
      </c>
      <c r="Y11" s="313">
        <f t="shared" si="4"/>
        <v>1.8126888217522661</v>
      </c>
      <c r="Z11" s="313" t="str">
        <f t="shared" si="4"/>
        <v>-</v>
      </c>
      <c r="AA11" s="313">
        <f t="shared" si="4"/>
        <v>1.9753086419753085</v>
      </c>
      <c r="AB11" s="313">
        <f t="shared" si="4"/>
        <v>2.1164021164021163</v>
      </c>
      <c r="AC11" s="313">
        <f t="shared" si="4"/>
        <v>0</v>
      </c>
      <c r="AD11" s="313">
        <f>IFERROR(AD10/AD$4*100,"-")</f>
        <v>1.4705882352941175</v>
      </c>
      <c r="AE11" s="313">
        <f t="shared" ref="AE11:AF11" si="5">IFERROR(AE10/AE$4*100,"-")</f>
        <v>1.5915119363395225</v>
      </c>
      <c r="AF11" s="313">
        <f t="shared" si="5"/>
        <v>0</v>
      </c>
    </row>
    <row r="12" spans="1:33" ht="14.1" customHeight="1">
      <c r="A12" s="557" t="s">
        <v>389</v>
      </c>
      <c r="B12" s="557"/>
      <c r="C12" s="557"/>
      <c r="D12" s="557"/>
      <c r="E12" s="557"/>
      <c r="F12" s="557"/>
      <c r="G12" s="557"/>
      <c r="H12" s="557"/>
      <c r="I12" s="557"/>
      <c r="J12" s="557"/>
      <c r="K12" s="557"/>
      <c r="L12" s="557"/>
      <c r="M12" s="557"/>
      <c r="N12" s="557"/>
      <c r="O12" s="184"/>
      <c r="P12" s="184"/>
      <c r="Q12" s="184"/>
      <c r="R12" s="183"/>
      <c r="S12" s="183"/>
      <c r="T12" s="183"/>
      <c r="U12" s="157"/>
      <c r="V12" s="157"/>
      <c r="W12" s="157"/>
      <c r="X12" s="157"/>
      <c r="Y12" s="157"/>
      <c r="Z12" s="157"/>
      <c r="AA12" s="157"/>
      <c r="AB12" s="157"/>
      <c r="AC12" s="157"/>
      <c r="AD12" s="157"/>
      <c r="AE12" s="157"/>
      <c r="AF12" s="157"/>
    </row>
    <row r="13" spans="1:33" ht="32.1" customHeight="1">
      <c r="A13" s="554" t="s">
        <v>435</v>
      </c>
      <c r="B13" s="555"/>
      <c r="C13" s="555"/>
      <c r="D13" s="555"/>
      <c r="E13" s="555"/>
      <c r="F13" s="555"/>
      <c r="G13" s="555"/>
      <c r="H13" s="555"/>
      <c r="I13" s="555"/>
      <c r="J13" s="555"/>
      <c r="K13" s="555"/>
      <c r="L13" s="555"/>
      <c r="M13" s="555"/>
      <c r="N13" s="555"/>
      <c r="O13" s="555"/>
      <c r="P13" s="555"/>
      <c r="Q13" s="555"/>
      <c r="R13" s="555"/>
      <c r="S13" s="555"/>
      <c r="T13" s="555"/>
      <c r="U13" s="555"/>
      <c r="V13" s="555"/>
      <c r="W13" s="555"/>
      <c r="X13" s="555"/>
      <c r="Y13" s="555"/>
      <c r="Z13" s="555"/>
      <c r="AA13" s="555"/>
      <c r="AB13" s="555"/>
      <c r="AC13" s="555"/>
      <c r="AD13" s="555"/>
      <c r="AE13" s="555"/>
      <c r="AF13" s="555"/>
    </row>
  </sheetData>
  <mergeCells count="18">
    <mergeCell ref="A12:N12"/>
    <mergeCell ref="A10:A11"/>
    <mergeCell ref="A13:AF13"/>
    <mergeCell ref="A4:A5"/>
    <mergeCell ref="A6:A7"/>
    <mergeCell ref="A8:A9"/>
    <mergeCell ref="A1:AF1"/>
    <mergeCell ref="A2:B3"/>
    <mergeCell ref="R2:T2"/>
    <mergeCell ref="U2:W2"/>
    <mergeCell ref="X2:Z2"/>
    <mergeCell ref="AA2:AC2"/>
    <mergeCell ref="AD2:AF2"/>
    <mergeCell ref="C2:E2"/>
    <mergeCell ref="F2:H2"/>
    <mergeCell ref="I2:K2"/>
    <mergeCell ref="L2:N2"/>
    <mergeCell ref="O2:Q2"/>
  </mergeCells>
  <phoneticPr fontId="37" type="noConversion"/>
  <hyperlinks>
    <hyperlink ref="AG1" location="本篇表次!A1" display="回本篇表次"/>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F21"/>
  <sheetViews>
    <sheetView showGridLines="0" zoomScale="120" zoomScaleNormal="120" workbookViewId="0">
      <pane xSplit="1" topLeftCell="B1" activePane="topRight" state="frozen"/>
      <selection sqref="A1:AE1"/>
      <selection pane="topRight" sqref="A1:AE1"/>
    </sheetView>
  </sheetViews>
  <sheetFormatPr defaultColWidth="7.625" defaultRowHeight="16.5"/>
  <cols>
    <col min="1" max="1" width="22.75" bestFit="1" customWidth="1"/>
    <col min="2" max="31" width="5.625" customWidth="1"/>
    <col min="32" max="32" width="12.625" bestFit="1" customWidth="1"/>
  </cols>
  <sheetData>
    <row r="1" spans="1:32" ht="30" customHeight="1">
      <c r="A1" s="513" t="s">
        <v>760</v>
      </c>
      <c r="B1" s="513"/>
      <c r="C1" s="513"/>
      <c r="D1" s="513"/>
      <c r="E1" s="513"/>
      <c r="F1" s="513"/>
      <c r="G1" s="513"/>
      <c r="H1" s="513"/>
      <c r="I1" s="513"/>
      <c r="J1" s="513"/>
      <c r="K1" s="513"/>
      <c r="L1" s="513"/>
      <c r="M1" s="513"/>
      <c r="N1" s="513"/>
      <c r="O1" s="513"/>
      <c r="P1" s="513"/>
      <c r="Q1" s="513"/>
      <c r="R1" s="513"/>
      <c r="S1" s="513"/>
      <c r="T1" s="513"/>
      <c r="U1" s="513"/>
      <c r="V1" s="513"/>
      <c r="W1" s="513"/>
      <c r="X1" s="513"/>
      <c r="Y1" s="513"/>
      <c r="Z1" s="513"/>
      <c r="AA1" s="513"/>
      <c r="AB1" s="513"/>
      <c r="AC1" s="513"/>
      <c r="AD1" s="513"/>
      <c r="AE1" s="513"/>
      <c r="AF1" s="242" t="s">
        <v>548</v>
      </c>
    </row>
    <row r="2" spans="1:32" ht="30" customHeight="1">
      <c r="A2" s="534"/>
      <c r="B2" s="529" t="s">
        <v>739</v>
      </c>
      <c r="C2" s="529"/>
      <c r="D2" s="529"/>
      <c r="E2" s="529" t="s">
        <v>740</v>
      </c>
      <c r="F2" s="529"/>
      <c r="G2" s="529"/>
      <c r="H2" s="529" t="s">
        <v>741</v>
      </c>
      <c r="I2" s="529"/>
      <c r="J2" s="529"/>
      <c r="K2" s="529" t="s">
        <v>742</v>
      </c>
      <c r="L2" s="529"/>
      <c r="M2" s="529"/>
      <c r="N2" s="529" t="s">
        <v>743</v>
      </c>
      <c r="O2" s="529"/>
      <c r="P2" s="529"/>
      <c r="Q2" s="529" t="s">
        <v>375</v>
      </c>
      <c r="R2" s="529"/>
      <c r="S2" s="529"/>
      <c r="T2" s="529" t="s">
        <v>163</v>
      </c>
      <c r="U2" s="529"/>
      <c r="V2" s="529"/>
      <c r="W2" s="529" t="s">
        <v>388</v>
      </c>
      <c r="X2" s="529"/>
      <c r="Y2" s="529"/>
      <c r="Z2" s="529" t="s">
        <v>45</v>
      </c>
      <c r="AA2" s="529"/>
      <c r="AB2" s="529"/>
      <c r="AC2" s="529" t="s">
        <v>619</v>
      </c>
      <c r="AD2" s="529"/>
      <c r="AE2" s="529"/>
    </row>
    <row r="3" spans="1:32" ht="30" customHeight="1">
      <c r="A3" s="535"/>
      <c r="B3" s="162" t="s">
        <v>428</v>
      </c>
      <c r="C3" s="162" t="s">
        <v>427</v>
      </c>
      <c r="D3" s="162" t="s">
        <v>426</v>
      </c>
      <c r="E3" s="162" t="s">
        <v>428</v>
      </c>
      <c r="F3" s="162" t="s">
        <v>427</v>
      </c>
      <c r="G3" s="162" t="s">
        <v>426</v>
      </c>
      <c r="H3" s="162" t="s">
        <v>428</v>
      </c>
      <c r="I3" s="162" t="s">
        <v>427</v>
      </c>
      <c r="J3" s="162" t="s">
        <v>426</v>
      </c>
      <c r="K3" s="162" t="s">
        <v>428</v>
      </c>
      <c r="L3" s="162" t="s">
        <v>427</v>
      </c>
      <c r="M3" s="162" t="s">
        <v>426</v>
      </c>
      <c r="N3" s="162" t="s">
        <v>428</v>
      </c>
      <c r="O3" s="162" t="s">
        <v>427</v>
      </c>
      <c r="P3" s="162" t="s">
        <v>426</v>
      </c>
      <c r="Q3" s="162" t="s">
        <v>428</v>
      </c>
      <c r="R3" s="162" t="s">
        <v>427</v>
      </c>
      <c r="S3" s="162" t="s">
        <v>426</v>
      </c>
      <c r="T3" s="162" t="s">
        <v>428</v>
      </c>
      <c r="U3" s="162" t="s">
        <v>427</v>
      </c>
      <c r="V3" s="162" t="s">
        <v>426</v>
      </c>
      <c r="W3" s="162" t="s">
        <v>428</v>
      </c>
      <c r="X3" s="162" t="s">
        <v>427</v>
      </c>
      <c r="Y3" s="162" t="s">
        <v>426</v>
      </c>
      <c r="Z3" s="162" t="s">
        <v>428</v>
      </c>
      <c r="AA3" s="162" t="s">
        <v>427</v>
      </c>
      <c r="AB3" s="162" t="s">
        <v>426</v>
      </c>
      <c r="AC3" s="162" t="s">
        <v>428</v>
      </c>
      <c r="AD3" s="162" t="s">
        <v>427</v>
      </c>
      <c r="AE3" s="162" t="s">
        <v>426</v>
      </c>
    </row>
    <row r="4" spans="1:32" ht="24" customHeight="1">
      <c r="A4" s="237" t="s">
        <v>458</v>
      </c>
      <c r="B4" s="315">
        <v>786</v>
      </c>
      <c r="C4" s="315">
        <v>683</v>
      </c>
      <c r="D4" s="315">
        <v>103</v>
      </c>
      <c r="E4" s="315">
        <v>825</v>
      </c>
      <c r="F4" s="315">
        <v>724</v>
      </c>
      <c r="G4" s="315">
        <v>101</v>
      </c>
      <c r="H4" s="315">
        <v>833</v>
      </c>
      <c r="I4" s="315">
        <v>709</v>
      </c>
      <c r="J4" s="315">
        <v>124</v>
      </c>
      <c r="K4" s="315">
        <v>738</v>
      </c>
      <c r="L4" s="315">
        <v>636</v>
      </c>
      <c r="M4" s="315">
        <v>102</v>
      </c>
      <c r="N4" s="315">
        <v>475</v>
      </c>
      <c r="O4" s="315">
        <v>420</v>
      </c>
      <c r="P4" s="315">
        <v>55</v>
      </c>
      <c r="Q4" s="315">
        <v>473</v>
      </c>
      <c r="R4" s="315">
        <v>402</v>
      </c>
      <c r="S4" s="315">
        <v>71</v>
      </c>
      <c r="T4" s="315">
        <v>475</v>
      </c>
      <c r="U4" s="315">
        <v>430</v>
      </c>
      <c r="V4" s="315">
        <v>45</v>
      </c>
      <c r="W4" s="315">
        <v>362</v>
      </c>
      <c r="X4" s="315">
        <v>331</v>
      </c>
      <c r="Y4" s="316">
        <v>31</v>
      </c>
      <c r="Z4" s="316">
        <v>405</v>
      </c>
      <c r="AA4" s="316">
        <v>378</v>
      </c>
      <c r="AB4" s="316">
        <v>27</v>
      </c>
      <c r="AC4" s="316">
        <v>408</v>
      </c>
      <c r="AD4" s="316">
        <v>377</v>
      </c>
      <c r="AE4" s="316">
        <v>31</v>
      </c>
    </row>
    <row r="5" spans="1:32" ht="24" customHeight="1">
      <c r="A5" s="237" t="s">
        <v>457</v>
      </c>
      <c r="B5" s="315">
        <v>29</v>
      </c>
      <c r="C5" s="315">
        <v>28</v>
      </c>
      <c r="D5" s="315">
        <v>1</v>
      </c>
      <c r="E5" s="315">
        <v>35</v>
      </c>
      <c r="F5" s="315">
        <v>34</v>
      </c>
      <c r="G5" s="315">
        <v>1</v>
      </c>
      <c r="H5" s="315">
        <v>75</v>
      </c>
      <c r="I5" s="315">
        <v>69</v>
      </c>
      <c r="J5" s="315">
        <v>6</v>
      </c>
      <c r="K5" s="315">
        <v>109</v>
      </c>
      <c r="L5" s="315">
        <v>107</v>
      </c>
      <c r="M5" s="315">
        <v>2</v>
      </c>
      <c r="N5" s="315">
        <v>52</v>
      </c>
      <c r="O5" s="315">
        <v>51</v>
      </c>
      <c r="P5" s="315">
        <v>1</v>
      </c>
      <c r="Q5" s="315">
        <v>84</v>
      </c>
      <c r="R5" s="315">
        <v>78</v>
      </c>
      <c r="S5" s="315">
        <v>6</v>
      </c>
      <c r="T5" s="315">
        <v>84</v>
      </c>
      <c r="U5" s="315">
        <v>81</v>
      </c>
      <c r="V5" s="315">
        <v>3</v>
      </c>
      <c r="W5" s="315">
        <v>80</v>
      </c>
      <c r="X5" s="315">
        <v>80</v>
      </c>
      <c r="Y5" s="315">
        <v>0</v>
      </c>
      <c r="Z5" s="315">
        <v>83</v>
      </c>
      <c r="AA5" s="315">
        <v>80</v>
      </c>
      <c r="AB5" s="315">
        <v>3</v>
      </c>
      <c r="AC5" s="315">
        <v>89</v>
      </c>
      <c r="AD5" s="315">
        <v>86</v>
      </c>
      <c r="AE5" s="315">
        <v>3</v>
      </c>
    </row>
    <row r="6" spans="1:32" ht="24" customHeight="1">
      <c r="A6" s="237" t="s">
        <v>456</v>
      </c>
      <c r="B6" s="315">
        <v>72</v>
      </c>
      <c r="C6" s="315">
        <v>65</v>
      </c>
      <c r="D6" s="315">
        <v>7</v>
      </c>
      <c r="E6" s="315">
        <v>76</v>
      </c>
      <c r="F6" s="315">
        <v>70</v>
      </c>
      <c r="G6" s="315">
        <v>6</v>
      </c>
      <c r="H6" s="315">
        <v>79</v>
      </c>
      <c r="I6" s="315">
        <v>70</v>
      </c>
      <c r="J6" s="315">
        <v>9</v>
      </c>
      <c r="K6" s="315">
        <v>69</v>
      </c>
      <c r="L6" s="315">
        <v>61</v>
      </c>
      <c r="M6" s="315">
        <v>8</v>
      </c>
      <c r="N6" s="315">
        <v>59</v>
      </c>
      <c r="O6" s="315">
        <v>53</v>
      </c>
      <c r="P6" s="315">
        <v>6</v>
      </c>
      <c r="Q6" s="315">
        <v>65</v>
      </c>
      <c r="R6" s="315">
        <v>60</v>
      </c>
      <c r="S6" s="315">
        <v>5</v>
      </c>
      <c r="T6" s="315">
        <v>84</v>
      </c>
      <c r="U6" s="315">
        <v>77</v>
      </c>
      <c r="V6" s="315">
        <v>7</v>
      </c>
      <c r="W6" s="315">
        <v>57</v>
      </c>
      <c r="X6" s="315">
        <v>52</v>
      </c>
      <c r="Y6" s="315">
        <v>5</v>
      </c>
      <c r="Z6" s="315">
        <v>79</v>
      </c>
      <c r="AA6" s="315">
        <v>73</v>
      </c>
      <c r="AB6" s="315">
        <v>6</v>
      </c>
      <c r="AC6" s="315">
        <v>78</v>
      </c>
      <c r="AD6" s="315">
        <v>74</v>
      </c>
      <c r="AE6" s="315">
        <v>4</v>
      </c>
    </row>
    <row r="7" spans="1:32" ht="24" customHeight="1">
      <c r="A7" s="237" t="s">
        <v>454</v>
      </c>
      <c r="B7" s="315">
        <v>184</v>
      </c>
      <c r="C7" s="315">
        <v>163</v>
      </c>
      <c r="D7" s="315">
        <v>21</v>
      </c>
      <c r="E7" s="315">
        <v>147</v>
      </c>
      <c r="F7" s="315">
        <v>129</v>
      </c>
      <c r="G7" s="315">
        <v>18</v>
      </c>
      <c r="H7" s="315">
        <v>154</v>
      </c>
      <c r="I7" s="315">
        <v>127</v>
      </c>
      <c r="J7" s="315">
        <v>27</v>
      </c>
      <c r="K7" s="315">
        <v>122</v>
      </c>
      <c r="L7" s="315">
        <v>107</v>
      </c>
      <c r="M7" s="315">
        <v>15</v>
      </c>
      <c r="N7" s="315">
        <v>86</v>
      </c>
      <c r="O7" s="315">
        <v>82</v>
      </c>
      <c r="P7" s="315">
        <v>4</v>
      </c>
      <c r="Q7" s="315">
        <v>92</v>
      </c>
      <c r="R7" s="315">
        <v>72</v>
      </c>
      <c r="S7" s="315">
        <v>20</v>
      </c>
      <c r="T7" s="315">
        <v>76</v>
      </c>
      <c r="U7" s="315">
        <v>69</v>
      </c>
      <c r="V7" s="315">
        <v>7</v>
      </c>
      <c r="W7" s="315">
        <v>49</v>
      </c>
      <c r="X7" s="315">
        <v>42</v>
      </c>
      <c r="Y7" s="315">
        <v>7</v>
      </c>
      <c r="Z7" s="315">
        <v>54</v>
      </c>
      <c r="AA7" s="315">
        <v>47</v>
      </c>
      <c r="AB7" s="315">
        <v>7</v>
      </c>
      <c r="AC7" s="315">
        <v>62</v>
      </c>
      <c r="AD7" s="315">
        <v>54</v>
      </c>
      <c r="AE7" s="315">
        <v>8</v>
      </c>
    </row>
    <row r="8" spans="1:32" ht="24" customHeight="1">
      <c r="A8" s="237" t="s">
        <v>455</v>
      </c>
      <c r="B8" s="315">
        <v>209</v>
      </c>
      <c r="C8" s="315">
        <v>183</v>
      </c>
      <c r="D8" s="315">
        <v>26</v>
      </c>
      <c r="E8" s="315">
        <v>280</v>
      </c>
      <c r="F8" s="315">
        <v>244</v>
      </c>
      <c r="G8" s="315">
        <v>36</v>
      </c>
      <c r="H8" s="315">
        <v>267</v>
      </c>
      <c r="I8" s="315">
        <v>222</v>
      </c>
      <c r="J8" s="315">
        <v>45</v>
      </c>
      <c r="K8" s="315">
        <v>232</v>
      </c>
      <c r="L8" s="315">
        <v>182</v>
      </c>
      <c r="M8" s="315">
        <v>50</v>
      </c>
      <c r="N8" s="315">
        <v>121</v>
      </c>
      <c r="O8" s="315">
        <v>92</v>
      </c>
      <c r="P8" s="315">
        <v>29</v>
      </c>
      <c r="Q8" s="315">
        <v>88</v>
      </c>
      <c r="R8" s="315">
        <v>61</v>
      </c>
      <c r="S8" s="315">
        <v>27</v>
      </c>
      <c r="T8" s="315">
        <v>79</v>
      </c>
      <c r="U8" s="315">
        <v>66</v>
      </c>
      <c r="V8" s="315">
        <v>13</v>
      </c>
      <c r="W8" s="315">
        <v>50</v>
      </c>
      <c r="X8" s="315">
        <v>42</v>
      </c>
      <c r="Y8" s="315">
        <v>8</v>
      </c>
      <c r="Z8" s="315">
        <v>35</v>
      </c>
      <c r="AA8" s="315">
        <v>30</v>
      </c>
      <c r="AB8" s="315">
        <v>5</v>
      </c>
      <c r="AC8" s="315">
        <v>44</v>
      </c>
      <c r="AD8" s="315">
        <v>36</v>
      </c>
      <c r="AE8" s="315">
        <v>8</v>
      </c>
    </row>
    <row r="9" spans="1:32" ht="24" customHeight="1">
      <c r="A9" s="237" t="s">
        <v>175</v>
      </c>
      <c r="B9" s="315">
        <v>48</v>
      </c>
      <c r="C9" s="315">
        <v>47</v>
      </c>
      <c r="D9" s="315">
        <v>1</v>
      </c>
      <c r="E9" s="315">
        <v>46</v>
      </c>
      <c r="F9" s="315">
        <v>45</v>
      </c>
      <c r="G9" s="315">
        <v>1</v>
      </c>
      <c r="H9" s="315">
        <v>43</v>
      </c>
      <c r="I9" s="315">
        <v>41</v>
      </c>
      <c r="J9" s="315">
        <v>2</v>
      </c>
      <c r="K9" s="315">
        <v>40</v>
      </c>
      <c r="L9" s="315">
        <v>39</v>
      </c>
      <c r="M9" s="315">
        <v>1</v>
      </c>
      <c r="N9" s="315">
        <v>33</v>
      </c>
      <c r="O9" s="315">
        <v>30</v>
      </c>
      <c r="P9" s="315">
        <v>3</v>
      </c>
      <c r="Q9" s="315">
        <v>37</v>
      </c>
      <c r="R9" s="315">
        <v>36</v>
      </c>
      <c r="S9" s="315">
        <v>1</v>
      </c>
      <c r="T9" s="315">
        <v>31</v>
      </c>
      <c r="U9" s="315">
        <v>30</v>
      </c>
      <c r="V9" s="315">
        <v>1</v>
      </c>
      <c r="W9" s="315">
        <v>23</v>
      </c>
      <c r="X9" s="315">
        <v>22</v>
      </c>
      <c r="Y9" s="315">
        <v>1</v>
      </c>
      <c r="Z9" s="315">
        <v>15</v>
      </c>
      <c r="AA9" s="315">
        <v>13</v>
      </c>
      <c r="AB9" s="315">
        <v>2</v>
      </c>
      <c r="AC9" s="315">
        <v>15</v>
      </c>
      <c r="AD9" s="315">
        <v>14</v>
      </c>
      <c r="AE9" s="315">
        <v>1</v>
      </c>
    </row>
    <row r="10" spans="1:32" ht="24" customHeight="1">
      <c r="A10" s="237" t="s">
        <v>452</v>
      </c>
      <c r="B10" s="315">
        <v>9</v>
      </c>
      <c r="C10" s="315">
        <v>7</v>
      </c>
      <c r="D10" s="315">
        <v>2</v>
      </c>
      <c r="E10" s="315">
        <v>7</v>
      </c>
      <c r="F10" s="315">
        <v>6</v>
      </c>
      <c r="G10" s="315">
        <v>1</v>
      </c>
      <c r="H10" s="315">
        <v>6</v>
      </c>
      <c r="I10" s="315">
        <v>5</v>
      </c>
      <c r="J10" s="315">
        <v>1</v>
      </c>
      <c r="K10" s="315">
        <v>11</v>
      </c>
      <c r="L10" s="315">
        <v>7</v>
      </c>
      <c r="M10" s="315">
        <v>4</v>
      </c>
      <c r="N10" s="315">
        <v>13</v>
      </c>
      <c r="O10" s="315">
        <v>9</v>
      </c>
      <c r="P10" s="315">
        <v>4</v>
      </c>
      <c r="Q10" s="315">
        <v>8</v>
      </c>
      <c r="R10" s="315">
        <v>6</v>
      </c>
      <c r="S10" s="315">
        <v>2</v>
      </c>
      <c r="T10" s="315">
        <v>14</v>
      </c>
      <c r="U10" s="315">
        <v>12</v>
      </c>
      <c r="V10" s="315">
        <v>2</v>
      </c>
      <c r="W10" s="315">
        <v>9</v>
      </c>
      <c r="X10" s="315">
        <v>6</v>
      </c>
      <c r="Y10" s="315">
        <v>3</v>
      </c>
      <c r="Z10" s="315">
        <v>18</v>
      </c>
      <c r="AA10" s="315">
        <v>17</v>
      </c>
      <c r="AB10" s="315">
        <v>1</v>
      </c>
      <c r="AC10" s="315">
        <v>12</v>
      </c>
      <c r="AD10" s="315">
        <v>11</v>
      </c>
      <c r="AE10" s="315">
        <v>1</v>
      </c>
    </row>
    <row r="11" spans="1:32" ht="24" customHeight="1">
      <c r="A11" s="237" t="s">
        <v>451</v>
      </c>
      <c r="B11" s="315">
        <v>9</v>
      </c>
      <c r="C11" s="315">
        <v>5</v>
      </c>
      <c r="D11" s="315">
        <v>4</v>
      </c>
      <c r="E11" s="315">
        <v>6</v>
      </c>
      <c r="F11" s="315">
        <v>6</v>
      </c>
      <c r="G11" s="315">
        <v>0</v>
      </c>
      <c r="H11" s="315">
        <v>5</v>
      </c>
      <c r="I11" s="315">
        <v>5</v>
      </c>
      <c r="J11" s="315">
        <v>0</v>
      </c>
      <c r="K11" s="315">
        <v>4</v>
      </c>
      <c r="L11" s="315">
        <v>4</v>
      </c>
      <c r="M11" s="315">
        <v>0</v>
      </c>
      <c r="N11" s="315">
        <v>5</v>
      </c>
      <c r="O11" s="315">
        <v>5</v>
      </c>
      <c r="P11" s="315">
        <v>0</v>
      </c>
      <c r="Q11" s="315">
        <v>4</v>
      </c>
      <c r="R11" s="315">
        <v>4</v>
      </c>
      <c r="S11" s="315">
        <v>0</v>
      </c>
      <c r="T11" s="315">
        <v>6</v>
      </c>
      <c r="U11" s="315">
        <v>6</v>
      </c>
      <c r="V11" s="315">
        <v>0</v>
      </c>
      <c r="W11" s="315">
        <v>6</v>
      </c>
      <c r="X11" s="315">
        <v>6</v>
      </c>
      <c r="Y11" s="315">
        <v>0</v>
      </c>
      <c r="Z11" s="315">
        <v>7</v>
      </c>
      <c r="AA11" s="315">
        <v>7</v>
      </c>
      <c r="AB11" s="315">
        <v>0</v>
      </c>
      <c r="AC11" s="315">
        <v>8</v>
      </c>
      <c r="AD11" s="315">
        <v>8</v>
      </c>
      <c r="AE11" s="315">
        <v>0</v>
      </c>
    </row>
    <row r="12" spans="1:32" ht="24" customHeight="1">
      <c r="A12" s="237" t="s">
        <v>453</v>
      </c>
      <c r="B12" s="315">
        <v>19</v>
      </c>
      <c r="C12" s="315">
        <v>17</v>
      </c>
      <c r="D12" s="315">
        <v>2</v>
      </c>
      <c r="E12" s="315">
        <v>24</v>
      </c>
      <c r="F12" s="315">
        <v>23</v>
      </c>
      <c r="G12" s="315">
        <v>1</v>
      </c>
      <c r="H12" s="315">
        <v>15</v>
      </c>
      <c r="I12" s="315">
        <v>14</v>
      </c>
      <c r="J12" s="315">
        <v>1</v>
      </c>
      <c r="K12" s="315">
        <v>12</v>
      </c>
      <c r="L12" s="315">
        <v>12</v>
      </c>
      <c r="M12" s="315">
        <v>0</v>
      </c>
      <c r="N12" s="315">
        <v>5</v>
      </c>
      <c r="O12" s="315">
        <v>5</v>
      </c>
      <c r="P12" s="315">
        <v>0</v>
      </c>
      <c r="Q12" s="315">
        <v>12</v>
      </c>
      <c r="R12" s="315">
        <v>11</v>
      </c>
      <c r="S12" s="315">
        <v>1</v>
      </c>
      <c r="T12" s="315">
        <v>11</v>
      </c>
      <c r="U12" s="315">
        <v>11</v>
      </c>
      <c r="V12" s="315">
        <v>0</v>
      </c>
      <c r="W12" s="315">
        <v>11</v>
      </c>
      <c r="X12" s="315">
        <v>10</v>
      </c>
      <c r="Y12" s="315">
        <v>1</v>
      </c>
      <c r="Z12" s="315">
        <v>8</v>
      </c>
      <c r="AA12" s="315">
        <v>7</v>
      </c>
      <c r="AB12" s="315">
        <v>1</v>
      </c>
      <c r="AC12" s="315">
        <v>4</v>
      </c>
      <c r="AD12" s="315">
        <v>4</v>
      </c>
      <c r="AE12" s="315">
        <v>0</v>
      </c>
    </row>
    <row r="13" spans="1:32" ht="24" customHeight="1">
      <c r="A13" s="237" t="s">
        <v>450</v>
      </c>
      <c r="B13" s="315">
        <v>7</v>
      </c>
      <c r="C13" s="315">
        <v>5</v>
      </c>
      <c r="D13" s="315">
        <v>2</v>
      </c>
      <c r="E13" s="315">
        <v>4</v>
      </c>
      <c r="F13" s="315">
        <v>3</v>
      </c>
      <c r="G13" s="315">
        <v>1</v>
      </c>
      <c r="H13" s="315">
        <v>3</v>
      </c>
      <c r="I13" s="315">
        <v>3</v>
      </c>
      <c r="J13" s="315">
        <v>0</v>
      </c>
      <c r="K13" s="315">
        <v>0</v>
      </c>
      <c r="L13" s="315">
        <v>0</v>
      </c>
      <c r="M13" s="315">
        <v>0</v>
      </c>
      <c r="N13" s="315">
        <v>6</v>
      </c>
      <c r="O13" s="315">
        <v>5</v>
      </c>
      <c r="P13" s="315">
        <v>1</v>
      </c>
      <c r="Q13" s="315">
        <v>2</v>
      </c>
      <c r="R13" s="315">
        <v>2</v>
      </c>
      <c r="S13" s="315">
        <v>0</v>
      </c>
      <c r="T13" s="315">
        <v>3</v>
      </c>
      <c r="U13" s="315">
        <v>3</v>
      </c>
      <c r="V13" s="315">
        <v>0</v>
      </c>
      <c r="W13" s="315">
        <v>3</v>
      </c>
      <c r="X13" s="315">
        <v>3</v>
      </c>
      <c r="Y13" s="315">
        <v>0</v>
      </c>
      <c r="Z13" s="315">
        <v>2</v>
      </c>
      <c r="AA13" s="315">
        <v>2</v>
      </c>
      <c r="AB13" s="315">
        <v>0</v>
      </c>
      <c r="AC13" s="315">
        <v>1</v>
      </c>
      <c r="AD13" s="315">
        <v>1</v>
      </c>
      <c r="AE13" s="315">
        <v>0</v>
      </c>
    </row>
    <row r="14" spans="1:32" ht="24" customHeight="1">
      <c r="A14" s="237" t="s">
        <v>449</v>
      </c>
      <c r="B14" s="315">
        <v>3</v>
      </c>
      <c r="C14" s="315">
        <v>2</v>
      </c>
      <c r="D14" s="315">
        <v>1</v>
      </c>
      <c r="E14" s="315">
        <v>2</v>
      </c>
      <c r="F14" s="315">
        <v>2</v>
      </c>
      <c r="G14" s="315">
        <v>0</v>
      </c>
      <c r="H14" s="315">
        <v>3</v>
      </c>
      <c r="I14" s="315">
        <v>3</v>
      </c>
      <c r="J14" s="315">
        <v>0</v>
      </c>
      <c r="K14" s="315">
        <v>2</v>
      </c>
      <c r="L14" s="315">
        <v>2</v>
      </c>
      <c r="M14" s="315">
        <v>0</v>
      </c>
      <c r="N14" s="315">
        <v>5</v>
      </c>
      <c r="O14" s="315">
        <v>5</v>
      </c>
      <c r="P14" s="315">
        <v>0</v>
      </c>
      <c r="Q14" s="315">
        <v>7</v>
      </c>
      <c r="R14" s="315">
        <v>7</v>
      </c>
      <c r="S14" s="315">
        <v>0</v>
      </c>
      <c r="T14" s="315">
        <v>6</v>
      </c>
      <c r="U14" s="315">
        <v>6</v>
      </c>
      <c r="V14" s="315">
        <v>0</v>
      </c>
      <c r="W14" s="315">
        <v>3</v>
      </c>
      <c r="X14" s="315">
        <v>3</v>
      </c>
      <c r="Y14" s="315">
        <v>0</v>
      </c>
      <c r="Z14" s="315" t="s">
        <v>220</v>
      </c>
      <c r="AA14" s="315" t="s">
        <v>220</v>
      </c>
      <c r="AB14" s="315">
        <v>0</v>
      </c>
      <c r="AC14" s="315">
        <v>0</v>
      </c>
      <c r="AD14" s="315">
        <v>0</v>
      </c>
      <c r="AE14" s="315">
        <v>0</v>
      </c>
    </row>
    <row r="15" spans="1:32" ht="24" customHeight="1">
      <c r="A15" s="237" t="s">
        <v>448</v>
      </c>
      <c r="B15" s="315">
        <v>0</v>
      </c>
      <c r="C15" s="315">
        <v>0</v>
      </c>
      <c r="D15" s="315">
        <v>0</v>
      </c>
      <c r="E15" s="315">
        <v>0</v>
      </c>
      <c r="F15" s="315">
        <v>0</v>
      </c>
      <c r="G15" s="315">
        <v>0</v>
      </c>
      <c r="H15" s="315">
        <v>1</v>
      </c>
      <c r="I15" s="315">
        <v>1</v>
      </c>
      <c r="J15" s="315">
        <v>0</v>
      </c>
      <c r="K15" s="315">
        <v>0</v>
      </c>
      <c r="L15" s="315">
        <v>0</v>
      </c>
      <c r="M15" s="315">
        <v>0</v>
      </c>
      <c r="N15" s="315">
        <v>0</v>
      </c>
      <c r="O15" s="315">
        <v>0</v>
      </c>
      <c r="P15" s="315">
        <v>0</v>
      </c>
      <c r="Q15" s="315">
        <v>1</v>
      </c>
      <c r="R15" s="315">
        <v>1</v>
      </c>
      <c r="S15" s="315">
        <v>0</v>
      </c>
      <c r="T15" s="315">
        <v>2</v>
      </c>
      <c r="U15" s="315">
        <v>1</v>
      </c>
      <c r="V15" s="315">
        <v>1</v>
      </c>
      <c r="W15" s="315">
        <v>0</v>
      </c>
      <c r="X15" s="315">
        <v>0</v>
      </c>
      <c r="Y15" s="315">
        <v>0</v>
      </c>
      <c r="Z15" s="315">
        <v>0</v>
      </c>
      <c r="AA15" s="315">
        <v>0</v>
      </c>
      <c r="AB15" s="315">
        <v>0</v>
      </c>
      <c r="AC15" s="315">
        <v>0</v>
      </c>
      <c r="AD15" s="315">
        <v>0</v>
      </c>
      <c r="AE15" s="315">
        <v>0</v>
      </c>
    </row>
    <row r="16" spans="1:32" ht="24" customHeight="1">
      <c r="A16" s="325" t="s">
        <v>759</v>
      </c>
      <c r="B16" s="315">
        <v>0</v>
      </c>
      <c r="C16" s="315">
        <v>0</v>
      </c>
      <c r="D16" s="315">
        <v>0</v>
      </c>
      <c r="E16" s="315">
        <v>1</v>
      </c>
      <c r="F16" s="315">
        <v>1</v>
      </c>
      <c r="G16" s="315">
        <v>0</v>
      </c>
      <c r="H16" s="315">
        <v>0</v>
      </c>
      <c r="I16" s="315">
        <v>0</v>
      </c>
      <c r="J16" s="315">
        <v>0</v>
      </c>
      <c r="K16" s="315">
        <v>0</v>
      </c>
      <c r="L16" s="315">
        <v>0</v>
      </c>
      <c r="M16" s="315">
        <v>0</v>
      </c>
      <c r="N16" s="315">
        <v>0</v>
      </c>
      <c r="O16" s="315">
        <v>0</v>
      </c>
      <c r="P16" s="315">
        <v>0</v>
      </c>
      <c r="Q16" s="315">
        <v>0</v>
      </c>
      <c r="R16" s="315">
        <v>0</v>
      </c>
      <c r="S16" s="315">
        <v>0</v>
      </c>
      <c r="T16" s="315">
        <v>0</v>
      </c>
      <c r="U16" s="315">
        <v>0</v>
      </c>
      <c r="V16" s="315">
        <v>0</v>
      </c>
      <c r="W16" s="315">
        <v>0</v>
      </c>
      <c r="X16" s="315">
        <v>0</v>
      </c>
      <c r="Y16" s="315">
        <v>0</v>
      </c>
      <c r="Z16" s="315">
        <v>0</v>
      </c>
      <c r="AA16" s="315">
        <v>0</v>
      </c>
      <c r="AB16" s="315">
        <v>0</v>
      </c>
      <c r="AC16" s="315">
        <v>0</v>
      </c>
      <c r="AD16" s="315">
        <v>0</v>
      </c>
      <c r="AE16" s="315">
        <v>0</v>
      </c>
    </row>
    <row r="17" spans="1:31" ht="24" customHeight="1">
      <c r="A17" s="237" t="s">
        <v>447</v>
      </c>
      <c r="B17" s="315">
        <v>80</v>
      </c>
      <c r="C17" s="315">
        <v>72</v>
      </c>
      <c r="D17" s="315">
        <v>8</v>
      </c>
      <c r="E17" s="315">
        <v>54</v>
      </c>
      <c r="F17" s="315">
        <v>52</v>
      </c>
      <c r="G17" s="315">
        <v>2</v>
      </c>
      <c r="H17" s="315">
        <v>70</v>
      </c>
      <c r="I17" s="315">
        <v>53</v>
      </c>
      <c r="J17" s="315">
        <v>17</v>
      </c>
      <c r="K17" s="315">
        <v>58</v>
      </c>
      <c r="L17" s="315">
        <v>54</v>
      </c>
      <c r="M17" s="315">
        <v>4</v>
      </c>
      <c r="N17" s="315">
        <v>53</v>
      </c>
      <c r="O17" s="315">
        <v>51</v>
      </c>
      <c r="P17" s="315">
        <v>2</v>
      </c>
      <c r="Q17" s="315">
        <v>40</v>
      </c>
      <c r="R17" s="315">
        <v>35</v>
      </c>
      <c r="S17" s="315">
        <v>5</v>
      </c>
      <c r="T17" s="315">
        <v>52</v>
      </c>
      <c r="U17" s="315">
        <v>45</v>
      </c>
      <c r="V17" s="315">
        <v>7</v>
      </c>
      <c r="W17" s="315">
        <v>54</v>
      </c>
      <c r="X17" s="315">
        <v>49</v>
      </c>
      <c r="Y17" s="315">
        <v>5</v>
      </c>
      <c r="Z17" s="315">
        <v>80</v>
      </c>
      <c r="AA17" s="315">
        <v>79</v>
      </c>
      <c r="AB17" s="315">
        <v>1</v>
      </c>
      <c r="AC17" s="315">
        <v>65</v>
      </c>
      <c r="AD17" s="315">
        <v>59</v>
      </c>
      <c r="AE17" s="315">
        <v>6</v>
      </c>
    </row>
    <row r="18" spans="1:31" ht="24" customHeight="1">
      <c r="A18" s="238" t="s">
        <v>418</v>
      </c>
      <c r="B18" s="318">
        <v>117</v>
      </c>
      <c r="C18" s="318">
        <v>89</v>
      </c>
      <c r="D18" s="318">
        <v>28</v>
      </c>
      <c r="E18" s="318">
        <v>143</v>
      </c>
      <c r="F18" s="318">
        <v>109</v>
      </c>
      <c r="G18" s="318">
        <v>34</v>
      </c>
      <c r="H18" s="318">
        <v>112</v>
      </c>
      <c r="I18" s="318">
        <v>96</v>
      </c>
      <c r="J18" s="318">
        <v>16</v>
      </c>
      <c r="K18" s="318">
        <v>79</v>
      </c>
      <c r="L18" s="318">
        <v>61</v>
      </c>
      <c r="M18" s="318">
        <v>18</v>
      </c>
      <c r="N18" s="318">
        <v>37</v>
      </c>
      <c r="O18" s="318">
        <v>32</v>
      </c>
      <c r="P18" s="318">
        <v>5</v>
      </c>
      <c r="Q18" s="318">
        <v>33</v>
      </c>
      <c r="R18" s="318">
        <v>29</v>
      </c>
      <c r="S18" s="318">
        <v>4</v>
      </c>
      <c r="T18" s="318">
        <v>27</v>
      </c>
      <c r="U18" s="318">
        <v>23</v>
      </c>
      <c r="V18" s="318">
        <v>4</v>
      </c>
      <c r="W18" s="318">
        <v>17</v>
      </c>
      <c r="X18" s="318">
        <v>16</v>
      </c>
      <c r="Y18" s="318">
        <v>1</v>
      </c>
      <c r="Z18" s="318">
        <v>24</v>
      </c>
      <c r="AA18" s="318">
        <v>23</v>
      </c>
      <c r="AB18" s="318">
        <v>1</v>
      </c>
      <c r="AC18" s="318">
        <v>30</v>
      </c>
      <c r="AD18" s="318">
        <v>30</v>
      </c>
      <c r="AE18" s="318">
        <v>0</v>
      </c>
    </row>
    <row r="19" spans="1:31" ht="14.1" customHeight="1">
      <c r="A19" s="537" t="s">
        <v>389</v>
      </c>
      <c r="B19" s="537"/>
      <c r="C19" s="537"/>
      <c r="D19" s="537"/>
      <c r="E19" s="537"/>
      <c r="F19" s="537"/>
      <c r="G19" s="537"/>
      <c r="H19" s="537"/>
      <c r="I19" s="537"/>
      <c r="J19" s="537"/>
      <c r="K19" s="537"/>
      <c r="L19" s="537"/>
      <c r="M19" s="537"/>
      <c r="N19" s="537"/>
      <c r="O19" s="537"/>
      <c r="P19" s="537"/>
      <c r="Q19" s="537"/>
      <c r="R19" s="231"/>
      <c r="S19" s="231"/>
      <c r="T19" s="157"/>
      <c r="U19" s="157"/>
      <c r="V19" s="157"/>
      <c r="W19" s="233"/>
      <c r="X19" s="233"/>
      <c r="Y19" s="233"/>
      <c r="Z19" s="157"/>
      <c r="AA19" s="157"/>
      <c r="AB19" s="157"/>
      <c r="AC19" s="157"/>
      <c r="AD19" s="157"/>
      <c r="AE19" s="157"/>
    </row>
    <row r="20" spans="1:31" ht="45.95" customHeight="1">
      <c r="A20" s="558" t="s">
        <v>758</v>
      </c>
      <c r="B20" s="558"/>
      <c r="C20" s="558"/>
      <c r="D20" s="558"/>
      <c r="E20" s="558"/>
      <c r="F20" s="558"/>
      <c r="G20" s="558"/>
      <c r="H20" s="558"/>
      <c r="I20" s="558"/>
      <c r="J20" s="558"/>
      <c r="K20" s="558"/>
      <c r="L20" s="558"/>
      <c r="M20" s="558"/>
      <c r="N20" s="558"/>
      <c r="O20" s="558"/>
      <c r="P20" s="558"/>
      <c r="Q20" s="558"/>
      <c r="R20" s="558"/>
      <c r="S20" s="558"/>
      <c r="T20" s="558"/>
      <c r="U20" s="558"/>
      <c r="V20" s="558"/>
      <c r="W20" s="558"/>
      <c r="X20" s="558"/>
      <c r="Y20" s="558"/>
      <c r="Z20" s="558"/>
      <c r="AA20" s="558"/>
      <c r="AB20" s="558"/>
      <c r="AC20" s="558"/>
      <c r="AD20" s="558"/>
      <c r="AE20" s="558"/>
    </row>
    <row r="21" spans="1:31">
      <c r="A21" s="171"/>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row>
  </sheetData>
  <sortState ref="A5:AE13">
    <sortCondition descending="1" ref="AC5:AC13"/>
  </sortState>
  <mergeCells count="14">
    <mergeCell ref="A20:AE20"/>
    <mergeCell ref="A1:AE1"/>
    <mergeCell ref="A2:A3"/>
    <mergeCell ref="Q2:S2"/>
    <mergeCell ref="T2:V2"/>
    <mergeCell ref="W2:Y2"/>
    <mergeCell ref="Z2:AB2"/>
    <mergeCell ref="AC2:AE2"/>
    <mergeCell ref="B2:D2"/>
    <mergeCell ref="E2:G2"/>
    <mergeCell ref="H2:J2"/>
    <mergeCell ref="K2:M2"/>
    <mergeCell ref="N2:P2"/>
    <mergeCell ref="A19:Q19"/>
  </mergeCells>
  <phoneticPr fontId="2" type="noConversion"/>
  <hyperlinks>
    <hyperlink ref="AF1" location="本篇表次!A1" display="回本篇表次"/>
  </hyperlinks>
  <printOptions horizontalCentered="1"/>
  <pageMargins left="0.70866141732283472" right="0.70866141732283472" top="0.74803149606299213" bottom="0.74803149606299213" header="0.31496062992125984" footer="0.31496062992125984"/>
  <pageSetup paperSize="9" scale="68"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M11"/>
  <sheetViews>
    <sheetView showGridLines="0" zoomScale="120" zoomScaleNormal="120" workbookViewId="0">
      <selection activeCell="M1" sqref="M1"/>
    </sheetView>
  </sheetViews>
  <sheetFormatPr defaultColWidth="10.875" defaultRowHeight="16.5"/>
  <cols>
    <col min="1" max="1" width="9.5" bestFit="1" customWidth="1"/>
    <col min="2" max="2" width="6.625" customWidth="1"/>
    <col min="3" max="12" width="8.625" customWidth="1"/>
    <col min="13" max="13" width="12.875" bestFit="1" customWidth="1"/>
  </cols>
  <sheetData>
    <row r="1" spans="1:13" ht="29.1" customHeight="1">
      <c r="A1" s="527" t="s">
        <v>766</v>
      </c>
      <c r="B1" s="527"/>
      <c r="C1" s="527"/>
      <c r="D1" s="527"/>
      <c r="E1" s="527"/>
      <c r="F1" s="527"/>
      <c r="G1" s="527"/>
      <c r="H1" s="527"/>
      <c r="I1" s="527"/>
      <c r="J1" s="527"/>
      <c r="K1" s="527"/>
      <c r="L1" s="559"/>
      <c r="M1" s="242" t="s">
        <v>548</v>
      </c>
    </row>
    <row r="2" spans="1:13" ht="51.95" customHeight="1">
      <c r="A2" s="514"/>
      <c r="B2" s="515"/>
      <c r="C2" s="189" t="s">
        <v>761</v>
      </c>
      <c r="D2" s="189" t="s">
        <v>762</v>
      </c>
      <c r="E2" s="189" t="s">
        <v>763</v>
      </c>
      <c r="F2" s="189" t="s">
        <v>764</v>
      </c>
      <c r="G2" s="189" t="s">
        <v>765</v>
      </c>
      <c r="H2" s="189" t="s">
        <v>466</v>
      </c>
      <c r="I2" s="189" t="s">
        <v>465</v>
      </c>
      <c r="J2" s="189" t="s">
        <v>464</v>
      </c>
      <c r="K2" s="189" t="s">
        <v>463</v>
      </c>
      <c r="L2" s="189" t="s">
        <v>631</v>
      </c>
    </row>
    <row r="3" spans="1:13" ht="60" customHeight="1">
      <c r="A3" s="560" t="s">
        <v>432</v>
      </c>
      <c r="B3" s="181" t="s">
        <v>460</v>
      </c>
      <c r="C3" s="181">
        <v>234</v>
      </c>
      <c r="D3" s="181">
        <v>219</v>
      </c>
      <c r="E3" s="181">
        <v>177</v>
      </c>
      <c r="F3" s="181">
        <v>156</v>
      </c>
      <c r="G3" s="181">
        <v>160</v>
      </c>
      <c r="H3" s="316">
        <v>140</v>
      </c>
      <c r="I3" s="316">
        <v>107</v>
      </c>
      <c r="J3" s="326">
        <v>102</v>
      </c>
      <c r="K3" s="326">
        <v>114</v>
      </c>
      <c r="L3" s="326">
        <v>118</v>
      </c>
    </row>
    <row r="4" spans="1:13" ht="60" customHeight="1">
      <c r="A4" s="560"/>
      <c r="B4" s="177" t="s">
        <v>459</v>
      </c>
      <c r="C4" s="177">
        <v>100</v>
      </c>
      <c r="D4" s="177">
        <v>100</v>
      </c>
      <c r="E4" s="177">
        <v>100</v>
      </c>
      <c r="F4" s="177">
        <v>100</v>
      </c>
      <c r="G4" s="177">
        <v>100</v>
      </c>
      <c r="H4" s="317">
        <f>SUM(H6,H8)</f>
        <v>100</v>
      </c>
      <c r="I4" s="317">
        <f>SUM(I6,I8)</f>
        <v>100</v>
      </c>
      <c r="J4" s="317">
        <f>SUM(J6,J8)</f>
        <v>99.999999999999986</v>
      </c>
      <c r="K4" s="317">
        <f>SUM(K6,K8)</f>
        <v>100</v>
      </c>
      <c r="L4" s="317">
        <v>100</v>
      </c>
    </row>
    <row r="5" spans="1:13" ht="60" customHeight="1">
      <c r="A5" s="561" t="s">
        <v>462</v>
      </c>
      <c r="B5" s="181" t="s">
        <v>460</v>
      </c>
      <c r="C5" s="181">
        <v>225</v>
      </c>
      <c r="D5" s="181">
        <v>212</v>
      </c>
      <c r="E5" s="181">
        <v>170</v>
      </c>
      <c r="F5" s="181">
        <v>148</v>
      </c>
      <c r="G5" s="181">
        <v>156</v>
      </c>
      <c r="H5" s="315">
        <v>135</v>
      </c>
      <c r="I5" s="315">
        <v>105</v>
      </c>
      <c r="J5" s="327">
        <v>100</v>
      </c>
      <c r="K5" s="327">
        <v>110</v>
      </c>
      <c r="L5" s="327">
        <v>113</v>
      </c>
    </row>
    <row r="6" spans="1:13" ht="60" customHeight="1">
      <c r="A6" s="561"/>
      <c r="B6" s="177" t="s">
        <v>459</v>
      </c>
      <c r="C6" s="177">
        <v>96.15384615384616</v>
      </c>
      <c r="D6" s="177">
        <v>96.803652968036531</v>
      </c>
      <c r="E6" s="177">
        <v>96.045197740112997</v>
      </c>
      <c r="F6" s="177">
        <v>94.871794871794862</v>
      </c>
      <c r="G6" s="177">
        <v>97.5</v>
      </c>
      <c r="H6" s="317">
        <f>IFERROR(H5/H$3*100,"-")</f>
        <v>96.428571428571431</v>
      </c>
      <c r="I6" s="317">
        <f>IFERROR(I5/I$3*100,"-")</f>
        <v>98.130841121495322</v>
      </c>
      <c r="J6" s="317">
        <f>IFERROR(J5/J$3*100,"-")</f>
        <v>98.039215686274503</v>
      </c>
      <c r="K6" s="317">
        <f>IFERROR(K5/K$3*100,"-")</f>
        <v>96.491228070175438</v>
      </c>
      <c r="L6" s="317">
        <v>95.762711864406782</v>
      </c>
    </row>
    <row r="7" spans="1:13" ht="60" customHeight="1">
      <c r="A7" s="562" t="s">
        <v>461</v>
      </c>
      <c r="B7" s="181" t="s">
        <v>460</v>
      </c>
      <c r="C7" s="181">
        <v>9</v>
      </c>
      <c r="D7" s="181">
        <v>7</v>
      </c>
      <c r="E7" s="181">
        <v>7</v>
      </c>
      <c r="F7" s="181">
        <v>8</v>
      </c>
      <c r="G7" s="181">
        <v>4</v>
      </c>
      <c r="H7" s="315">
        <v>5</v>
      </c>
      <c r="I7" s="315">
        <v>2</v>
      </c>
      <c r="J7" s="327">
        <v>2</v>
      </c>
      <c r="K7" s="327">
        <v>4</v>
      </c>
      <c r="L7" s="327">
        <v>5</v>
      </c>
    </row>
    <row r="8" spans="1:13" ht="60" customHeight="1">
      <c r="A8" s="563"/>
      <c r="B8" s="173" t="s">
        <v>459</v>
      </c>
      <c r="C8" s="173">
        <v>3.8461538461538463</v>
      </c>
      <c r="D8" s="173">
        <v>3.1963470319634704</v>
      </c>
      <c r="E8" s="173">
        <v>3.9548022598870061</v>
      </c>
      <c r="F8" s="173">
        <v>5.1282051282051277</v>
      </c>
      <c r="G8" s="173">
        <v>2.5</v>
      </c>
      <c r="H8" s="319">
        <f>IFERROR(H7/H$3*100,"-")</f>
        <v>3.5714285714285712</v>
      </c>
      <c r="I8" s="319">
        <f>IFERROR(I7/I$3*100,"-")</f>
        <v>1.8691588785046727</v>
      </c>
      <c r="J8" s="319">
        <f>IFERROR(J7/J$3*100,"-")</f>
        <v>1.9607843137254901</v>
      </c>
      <c r="K8" s="319">
        <f>IFERROR(K7/K$3*100,"-")</f>
        <v>3.5087719298245612</v>
      </c>
      <c r="L8" s="319">
        <v>4.2372881355932197</v>
      </c>
    </row>
    <row r="9" spans="1:13">
      <c r="A9" s="537" t="s">
        <v>389</v>
      </c>
      <c r="B9" s="537"/>
      <c r="C9" s="537"/>
      <c r="D9" s="537"/>
      <c r="E9" s="537"/>
      <c r="F9" s="537"/>
      <c r="G9" s="159"/>
      <c r="H9" s="158"/>
      <c r="I9" s="157"/>
      <c r="J9" s="157"/>
      <c r="K9" s="157"/>
      <c r="L9" s="157"/>
    </row>
    <row r="10" spans="1:13">
      <c r="A10" s="157"/>
      <c r="B10" s="188"/>
      <c r="C10" s="188"/>
      <c r="D10" s="188"/>
      <c r="E10" s="188"/>
      <c r="F10" s="188"/>
      <c r="G10" s="188"/>
      <c r="H10" s="187"/>
      <c r="I10" s="185"/>
      <c r="J10" s="185"/>
      <c r="K10" s="185"/>
      <c r="L10" s="185"/>
    </row>
    <row r="11" spans="1:13">
      <c r="A11" s="185"/>
      <c r="B11" s="186"/>
      <c r="C11" s="186"/>
      <c r="D11" s="186"/>
      <c r="E11" s="186"/>
      <c r="F11" s="186"/>
      <c r="G11" s="186"/>
      <c r="H11" s="185"/>
      <c r="I11" s="185"/>
      <c r="J11" s="185"/>
      <c r="K11" s="185"/>
      <c r="L11" s="185"/>
    </row>
  </sheetData>
  <mergeCells count="6">
    <mergeCell ref="A9:F9"/>
    <mergeCell ref="A1:L1"/>
    <mergeCell ref="A2:B2"/>
    <mergeCell ref="A3:A4"/>
    <mergeCell ref="A5:A6"/>
    <mergeCell ref="A7:A8"/>
  </mergeCells>
  <phoneticPr fontId="2" type="noConversion"/>
  <hyperlinks>
    <hyperlink ref="M1" location="本篇表次!A1" display="回本篇表次"/>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1"/>
  <sheetViews>
    <sheetView showGridLines="0" workbookViewId="0">
      <selection sqref="A1:G1"/>
    </sheetView>
  </sheetViews>
  <sheetFormatPr defaultColWidth="9" defaultRowHeight="15.75"/>
  <cols>
    <col min="1" max="1" width="5.5" style="40" customWidth="1"/>
    <col min="2" max="2" width="9.75" style="40" customWidth="1"/>
    <col min="3" max="3" width="17.625" style="40" customWidth="1"/>
    <col min="4" max="4" width="9.5" style="40" bestFit="1" customWidth="1"/>
    <col min="5" max="7" width="30.125" style="40" customWidth="1"/>
    <col min="8" max="8" width="12.625" style="40" bestFit="1" customWidth="1"/>
    <col min="9" max="16384" width="9" style="40"/>
  </cols>
  <sheetData>
    <row r="1" spans="1:8" ht="30" customHeight="1">
      <c r="A1" s="399" t="s">
        <v>717</v>
      </c>
      <c r="B1" s="399"/>
      <c r="C1" s="399"/>
      <c r="D1" s="399"/>
      <c r="E1" s="399"/>
      <c r="F1" s="399"/>
      <c r="G1" s="399"/>
      <c r="H1" s="242" t="s">
        <v>548</v>
      </c>
    </row>
    <row r="2" spans="1:8" ht="39.75" customHeight="1">
      <c r="A2" s="400"/>
      <c r="B2" s="400"/>
      <c r="C2" s="304"/>
      <c r="D2" s="302" t="s">
        <v>713</v>
      </c>
      <c r="E2" s="305" t="s">
        <v>726</v>
      </c>
      <c r="F2" s="305" t="s">
        <v>725</v>
      </c>
      <c r="G2" s="305" t="s">
        <v>727</v>
      </c>
    </row>
    <row r="3" spans="1:8" ht="20.100000000000001" customHeight="1">
      <c r="A3" s="401" t="s">
        <v>728</v>
      </c>
      <c r="B3" s="402"/>
      <c r="C3" s="303"/>
      <c r="D3" s="303">
        <f>SUM(E3+G3+F3)</f>
        <v>405</v>
      </c>
      <c r="E3" s="303">
        <v>28</v>
      </c>
      <c r="F3" s="303">
        <v>362</v>
      </c>
      <c r="G3" s="303">
        <v>15</v>
      </c>
    </row>
    <row r="4" spans="1:8" ht="20.100000000000001" customHeight="1">
      <c r="A4" s="215"/>
      <c r="B4" s="407" t="s">
        <v>729</v>
      </c>
      <c r="C4" s="407"/>
      <c r="D4" s="40">
        <f>SUM(E4:G4)</f>
        <v>32</v>
      </c>
      <c r="E4" s="42" t="s">
        <v>220</v>
      </c>
      <c r="F4" s="40">
        <f>SUM(F5+F6)</f>
        <v>29</v>
      </c>
      <c r="G4" s="40">
        <f>SUM(G5:G6)</f>
        <v>3</v>
      </c>
    </row>
    <row r="5" spans="1:8" ht="20.100000000000001" customHeight="1">
      <c r="A5" s="303"/>
      <c r="B5" s="405" t="s">
        <v>714</v>
      </c>
      <c r="C5" s="405"/>
      <c r="D5" s="40">
        <f>SUM(E5:G5)</f>
        <v>2</v>
      </c>
      <c r="E5" s="42" t="s">
        <v>220</v>
      </c>
      <c r="F5" s="40">
        <v>2</v>
      </c>
      <c r="G5" s="42" t="s">
        <v>220</v>
      </c>
    </row>
    <row r="6" spans="1:8" ht="20.100000000000001" customHeight="1">
      <c r="A6" s="303"/>
      <c r="B6" s="405" t="s">
        <v>715</v>
      </c>
      <c r="C6" s="405"/>
      <c r="D6" s="40">
        <f>SUM(E6:G6)</f>
        <v>30</v>
      </c>
      <c r="E6" s="42" t="s">
        <v>220</v>
      </c>
      <c r="F6" s="40">
        <v>27</v>
      </c>
      <c r="G6" s="40">
        <v>3</v>
      </c>
    </row>
    <row r="7" spans="1:8" ht="20.100000000000001" customHeight="1">
      <c r="A7" s="48"/>
      <c r="B7" s="406" t="s">
        <v>730</v>
      </c>
      <c r="C7" s="406"/>
      <c r="D7" s="48">
        <f>D3-D4</f>
        <v>373</v>
      </c>
      <c r="E7" s="48">
        <v>28</v>
      </c>
      <c r="F7" s="48">
        <f>F3-F4</f>
        <v>333</v>
      </c>
      <c r="G7" s="48">
        <f>G3-G4</f>
        <v>12</v>
      </c>
    </row>
    <row r="8" spans="1:8" ht="45.75" customHeight="1">
      <c r="A8" s="403" t="s">
        <v>716</v>
      </c>
      <c r="B8" s="404"/>
      <c r="C8" s="404"/>
      <c r="D8" s="404"/>
      <c r="E8" s="404"/>
      <c r="F8" s="404"/>
      <c r="G8" s="404"/>
    </row>
    <row r="11" spans="1:8" ht="17.25" customHeight="1"/>
  </sheetData>
  <mergeCells count="8">
    <mergeCell ref="A1:G1"/>
    <mergeCell ref="A2:B2"/>
    <mergeCell ref="A3:B3"/>
    <mergeCell ref="A8:G8"/>
    <mergeCell ref="B6:C6"/>
    <mergeCell ref="B7:C7"/>
    <mergeCell ref="B5:C5"/>
    <mergeCell ref="B4:C4"/>
  </mergeCells>
  <phoneticPr fontId="2" type="noConversion"/>
  <hyperlinks>
    <hyperlink ref="H1" location="本篇表次!A1" display="回本篇表次"/>
  </hyperlinks>
  <pageMargins left="0.7" right="0.7" top="0.75" bottom="0.75" header="0.3" footer="0.3"/>
  <pageSetup paperSize="9" scale="98"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9"/>
  <sheetViews>
    <sheetView showGridLines="0" zoomScale="120" zoomScaleNormal="120" workbookViewId="0">
      <selection sqref="A1:G1"/>
    </sheetView>
  </sheetViews>
  <sheetFormatPr defaultColWidth="11" defaultRowHeight="16.5"/>
  <cols>
    <col min="1" max="1" width="5" customWidth="1"/>
    <col min="2" max="2" width="6.375" customWidth="1"/>
    <col min="3" max="3" width="9" customWidth="1"/>
    <col min="4" max="4" width="26.625" customWidth="1"/>
    <col min="5" max="7" width="13.375" customWidth="1"/>
    <col min="8" max="8" width="12.625" bestFit="1" customWidth="1"/>
  </cols>
  <sheetData>
    <row r="1" spans="1:8" ht="27" customHeight="1">
      <c r="A1" s="409" t="s">
        <v>614</v>
      </c>
      <c r="B1" s="410"/>
      <c r="C1" s="410"/>
      <c r="D1" s="410"/>
      <c r="E1" s="410"/>
      <c r="F1" s="410"/>
      <c r="G1" s="410"/>
      <c r="H1" s="242" t="s">
        <v>548</v>
      </c>
    </row>
    <row r="2" spans="1:8" ht="21" customHeight="1">
      <c r="A2" s="411"/>
      <c r="B2" s="412"/>
      <c r="C2" s="412"/>
      <c r="D2" s="412"/>
      <c r="E2" s="144" t="s">
        <v>0</v>
      </c>
      <c r="F2" s="145" t="s">
        <v>1</v>
      </c>
      <c r="G2" s="145" t="s">
        <v>2</v>
      </c>
    </row>
    <row r="3" spans="1:8" ht="15.75" customHeight="1">
      <c r="A3" s="413" t="s">
        <v>24</v>
      </c>
      <c r="B3" s="415" t="s">
        <v>3</v>
      </c>
      <c r="C3" s="415"/>
      <c r="D3" s="415"/>
      <c r="E3" s="149">
        <v>26226</v>
      </c>
      <c r="F3" s="149">
        <v>25703</v>
      </c>
      <c r="G3" s="150">
        <v>523</v>
      </c>
    </row>
    <row r="4" spans="1:8" ht="15.75" customHeight="1">
      <c r="A4" s="413"/>
      <c r="B4" s="151"/>
      <c r="C4" s="408" t="s">
        <v>25</v>
      </c>
      <c r="D4" s="408"/>
      <c r="E4" s="149">
        <f t="shared" ref="E4:E8" si="0">SUM(F4:G4)</f>
        <v>4722</v>
      </c>
      <c r="F4" s="149">
        <v>4587</v>
      </c>
      <c r="G4" s="150">
        <v>135</v>
      </c>
    </row>
    <row r="5" spans="1:8" ht="15.75" customHeight="1">
      <c r="A5" s="413"/>
      <c r="B5" s="146"/>
      <c r="C5" s="416" t="s">
        <v>26</v>
      </c>
      <c r="D5" s="416"/>
      <c r="E5" s="147">
        <f t="shared" si="0"/>
        <v>21504</v>
      </c>
      <c r="F5" s="147">
        <v>21116</v>
      </c>
      <c r="G5" s="148">
        <v>388</v>
      </c>
    </row>
    <row r="6" spans="1:8" ht="15.75" customHeight="1">
      <c r="A6" s="413"/>
      <c r="B6" s="417" t="s">
        <v>0</v>
      </c>
      <c r="C6" s="415"/>
      <c r="D6" s="415"/>
      <c r="E6" s="149">
        <f t="shared" si="0"/>
        <v>26226</v>
      </c>
      <c r="F6" s="149">
        <f>SUM(F7:F8)</f>
        <v>25703</v>
      </c>
      <c r="G6" s="149">
        <f>SUM(G7:G8)</f>
        <v>523</v>
      </c>
    </row>
    <row r="7" spans="1:8" ht="15.75" customHeight="1">
      <c r="A7" s="413"/>
      <c r="B7" s="151"/>
      <c r="C7" s="408" t="s">
        <v>27</v>
      </c>
      <c r="D7" s="408"/>
      <c r="E7" s="149">
        <f t="shared" si="0"/>
        <v>20482</v>
      </c>
      <c r="F7" s="149">
        <v>19987</v>
      </c>
      <c r="G7" s="150">
        <v>495</v>
      </c>
    </row>
    <row r="8" spans="1:8" ht="15.75" customHeight="1">
      <c r="A8" s="414"/>
      <c r="B8" s="146"/>
      <c r="C8" s="416" t="s">
        <v>28</v>
      </c>
      <c r="D8" s="416"/>
      <c r="E8" s="147">
        <f t="shared" si="0"/>
        <v>5744</v>
      </c>
      <c r="F8" s="147">
        <v>5716</v>
      </c>
      <c r="G8" s="147">
        <v>28</v>
      </c>
    </row>
    <row r="9" spans="1:8" ht="15.75" customHeight="1">
      <c r="A9" s="427" t="s">
        <v>4</v>
      </c>
      <c r="B9" s="430" t="s">
        <v>5</v>
      </c>
      <c r="C9" s="431"/>
      <c r="D9" s="431"/>
      <c r="E9" s="152">
        <f>SUM(E10:E12,E16,E23:E26)</f>
        <v>25679</v>
      </c>
      <c r="F9" s="152">
        <v>25144</v>
      </c>
      <c r="G9" s="152">
        <v>535</v>
      </c>
    </row>
    <row r="10" spans="1:8" ht="15.75" customHeight="1">
      <c r="A10" s="428"/>
      <c r="B10" s="419" t="s">
        <v>29</v>
      </c>
      <c r="C10" s="419"/>
      <c r="D10" s="419"/>
      <c r="E10" s="149">
        <f t="shared" ref="E10" si="1">SUM(F10:G10)</f>
        <v>3862</v>
      </c>
      <c r="F10" s="149">
        <v>3823</v>
      </c>
      <c r="G10" s="149">
        <v>39</v>
      </c>
    </row>
    <row r="11" spans="1:8" ht="15.75" customHeight="1">
      <c r="A11" s="428"/>
      <c r="B11" s="418" t="s">
        <v>6</v>
      </c>
      <c r="C11" s="419"/>
      <c r="D11" s="419"/>
      <c r="E11" s="149"/>
      <c r="F11" s="149"/>
      <c r="G11" s="149"/>
    </row>
    <row r="12" spans="1:8" ht="15.75" customHeight="1">
      <c r="A12" s="428"/>
      <c r="B12" s="432" t="s">
        <v>7</v>
      </c>
      <c r="C12" s="433"/>
      <c r="D12" s="433"/>
      <c r="E12" s="149">
        <f>SUM(F12:G12)</f>
        <v>428</v>
      </c>
      <c r="F12" s="149">
        <f>SUM(F13:F15)</f>
        <v>428</v>
      </c>
      <c r="G12" s="149">
        <v>0</v>
      </c>
    </row>
    <row r="13" spans="1:8" ht="15.75" customHeight="1">
      <c r="A13" s="428"/>
      <c r="B13" s="433" t="s">
        <v>8</v>
      </c>
      <c r="C13" s="433"/>
      <c r="D13" s="433"/>
      <c r="E13" s="149">
        <f t="shared" ref="E13:E15" si="2">SUM(F13:G13)</f>
        <v>299</v>
      </c>
      <c r="F13" s="149">
        <v>299</v>
      </c>
      <c r="G13" s="149">
        <v>0</v>
      </c>
    </row>
    <row r="14" spans="1:8" ht="15.75" customHeight="1">
      <c r="A14" s="428"/>
      <c r="B14" s="433" t="s">
        <v>522</v>
      </c>
      <c r="C14" s="433"/>
      <c r="D14" s="433"/>
      <c r="E14" s="149">
        <f t="shared" si="2"/>
        <v>120</v>
      </c>
      <c r="F14" s="149">
        <v>120</v>
      </c>
      <c r="G14" s="149">
        <v>0</v>
      </c>
    </row>
    <row r="15" spans="1:8" ht="15.75" customHeight="1">
      <c r="A15" s="428"/>
      <c r="B15" s="433" t="s">
        <v>10</v>
      </c>
      <c r="C15" s="433"/>
      <c r="D15" s="433"/>
      <c r="E15" s="149">
        <f t="shared" si="2"/>
        <v>9</v>
      </c>
      <c r="F15" s="149">
        <v>9</v>
      </c>
      <c r="G15" s="149">
        <v>0</v>
      </c>
    </row>
    <row r="16" spans="1:8" ht="15.75" customHeight="1">
      <c r="A16" s="428"/>
      <c r="B16" s="434" t="s">
        <v>11</v>
      </c>
      <c r="C16" s="419"/>
      <c r="D16" s="419"/>
      <c r="E16" s="149">
        <f>SUM(E17:E19)</f>
        <v>7899</v>
      </c>
      <c r="F16" s="149">
        <v>7760</v>
      </c>
      <c r="G16" s="149">
        <v>139</v>
      </c>
    </row>
    <row r="17" spans="1:7" ht="15.75" customHeight="1">
      <c r="A17" s="428"/>
      <c r="B17" s="418" t="s">
        <v>12</v>
      </c>
      <c r="C17" s="419"/>
      <c r="D17" s="419"/>
      <c r="E17" s="149">
        <f t="shared" ref="E17" si="3">SUM(F17:G17)</f>
        <v>4941</v>
      </c>
      <c r="F17" s="149">
        <v>4825</v>
      </c>
      <c r="G17" s="149">
        <v>116</v>
      </c>
    </row>
    <row r="18" spans="1:7" ht="15.75" customHeight="1">
      <c r="A18" s="428"/>
      <c r="B18" s="418" t="s">
        <v>13</v>
      </c>
      <c r="C18" s="419"/>
      <c r="D18" s="419"/>
      <c r="E18" s="149"/>
      <c r="F18" s="149"/>
      <c r="G18" s="149"/>
    </row>
    <row r="19" spans="1:7" ht="15.75" customHeight="1">
      <c r="A19" s="428"/>
      <c r="B19" s="408" t="s">
        <v>14</v>
      </c>
      <c r="C19" s="408"/>
      <c r="D19" s="408"/>
      <c r="E19" s="149">
        <f>SUM(E20:E22)</f>
        <v>2958</v>
      </c>
      <c r="F19" s="149">
        <v>2935</v>
      </c>
      <c r="G19" s="149">
        <v>23</v>
      </c>
    </row>
    <row r="20" spans="1:7" ht="15.75" customHeight="1">
      <c r="A20" s="428"/>
      <c r="B20" s="408" t="s">
        <v>15</v>
      </c>
      <c r="C20" s="408"/>
      <c r="D20" s="408"/>
      <c r="E20" s="149">
        <f t="shared" ref="E20:E22" si="4">SUM(F20:G20)</f>
        <v>105</v>
      </c>
      <c r="F20" s="149">
        <v>100</v>
      </c>
      <c r="G20" s="149">
        <v>5</v>
      </c>
    </row>
    <row r="21" spans="1:7" ht="15.75" customHeight="1">
      <c r="A21" s="428"/>
      <c r="B21" s="408" t="s">
        <v>16</v>
      </c>
      <c r="C21" s="408"/>
      <c r="D21" s="408"/>
      <c r="E21" s="149">
        <f t="shared" si="4"/>
        <v>1574</v>
      </c>
      <c r="F21" s="149">
        <v>1570</v>
      </c>
      <c r="G21" s="149">
        <v>4</v>
      </c>
    </row>
    <row r="22" spans="1:7" ht="15.75" customHeight="1">
      <c r="A22" s="428"/>
      <c r="B22" s="408" t="s">
        <v>17</v>
      </c>
      <c r="C22" s="408"/>
      <c r="D22" s="408"/>
      <c r="E22" s="149">
        <f t="shared" si="4"/>
        <v>1279</v>
      </c>
      <c r="F22" s="149">
        <v>1265</v>
      </c>
      <c r="G22" s="149">
        <v>14</v>
      </c>
    </row>
    <row r="23" spans="1:7" ht="15.75" customHeight="1">
      <c r="A23" s="428"/>
      <c r="B23" s="422" t="s">
        <v>18</v>
      </c>
      <c r="C23" s="412"/>
      <c r="D23" s="412"/>
      <c r="E23" s="149">
        <f>SUM(F23:G23)</f>
        <v>12760</v>
      </c>
      <c r="F23" s="149">
        <v>12429</v>
      </c>
      <c r="G23" s="149">
        <v>331</v>
      </c>
    </row>
    <row r="24" spans="1:7" ht="15.75" customHeight="1">
      <c r="A24" s="428"/>
      <c r="B24" s="422" t="s">
        <v>19</v>
      </c>
      <c r="C24" s="412"/>
      <c r="D24" s="412"/>
      <c r="E24" s="149">
        <f t="shared" ref="E24:E27" si="5">SUM(F24:G24)</f>
        <v>131</v>
      </c>
      <c r="F24" s="149">
        <v>124</v>
      </c>
      <c r="G24" s="149">
        <v>7</v>
      </c>
    </row>
    <row r="25" spans="1:7" ht="15.75" customHeight="1">
      <c r="A25" s="428"/>
      <c r="B25" s="422" t="s">
        <v>20</v>
      </c>
      <c r="C25" s="412"/>
      <c r="D25" s="412"/>
      <c r="E25" s="149">
        <f t="shared" si="5"/>
        <v>563</v>
      </c>
      <c r="F25" s="149">
        <v>551</v>
      </c>
      <c r="G25" s="149">
        <v>12</v>
      </c>
    </row>
    <row r="26" spans="1:7" ht="15.75" customHeight="1">
      <c r="A26" s="429"/>
      <c r="B26" s="423" t="s">
        <v>21</v>
      </c>
      <c r="C26" s="424"/>
      <c r="D26" s="424"/>
      <c r="E26" s="147">
        <f t="shared" si="5"/>
        <v>36</v>
      </c>
      <c r="F26" s="147">
        <v>29</v>
      </c>
      <c r="G26" s="147">
        <v>7</v>
      </c>
    </row>
    <row r="27" spans="1:7" ht="15.75" customHeight="1">
      <c r="A27" s="425" t="s">
        <v>22</v>
      </c>
      <c r="B27" s="425"/>
      <c r="C27" s="425"/>
      <c r="D27" s="425"/>
      <c r="E27" s="147">
        <f t="shared" si="5"/>
        <v>0</v>
      </c>
      <c r="F27" s="147" t="s">
        <v>30</v>
      </c>
      <c r="G27" s="147" t="s">
        <v>9</v>
      </c>
    </row>
    <row r="28" spans="1:7">
      <c r="A28" s="426" t="s">
        <v>31</v>
      </c>
      <c r="B28" s="412"/>
      <c r="C28" s="412"/>
      <c r="D28" s="412"/>
      <c r="E28" s="2"/>
      <c r="F28" s="2"/>
      <c r="G28" s="1"/>
    </row>
    <row r="29" spans="1:7">
      <c r="A29" s="420" t="s">
        <v>23</v>
      </c>
      <c r="B29" s="421"/>
      <c r="C29" s="421"/>
      <c r="D29" s="421"/>
      <c r="E29" s="421"/>
      <c r="F29" s="2"/>
      <c r="G29" s="1"/>
    </row>
  </sheetData>
  <mergeCells count="31">
    <mergeCell ref="A29:E29"/>
    <mergeCell ref="B23:D23"/>
    <mergeCell ref="B24:D24"/>
    <mergeCell ref="B25:D25"/>
    <mergeCell ref="B26:D26"/>
    <mergeCell ref="A27:D27"/>
    <mergeCell ref="A28:D28"/>
    <mergeCell ref="A9:A26"/>
    <mergeCell ref="B9:D9"/>
    <mergeCell ref="B10:D10"/>
    <mergeCell ref="B11:D11"/>
    <mergeCell ref="B12:D12"/>
    <mergeCell ref="B13:D13"/>
    <mergeCell ref="B14:D14"/>
    <mergeCell ref="B15:D15"/>
    <mergeCell ref="B16:D16"/>
    <mergeCell ref="B22:D22"/>
    <mergeCell ref="A1:G1"/>
    <mergeCell ref="A2:D2"/>
    <mergeCell ref="A3:A8"/>
    <mergeCell ref="B3:D3"/>
    <mergeCell ref="C4:D4"/>
    <mergeCell ref="C5:D5"/>
    <mergeCell ref="B6:D6"/>
    <mergeCell ref="C7:D7"/>
    <mergeCell ref="C8:D8"/>
    <mergeCell ref="B17:D17"/>
    <mergeCell ref="B18:D18"/>
    <mergeCell ref="B19:D19"/>
    <mergeCell ref="B20:D20"/>
    <mergeCell ref="B21:D21"/>
  </mergeCells>
  <phoneticPr fontId="2" type="noConversion"/>
  <hyperlinks>
    <hyperlink ref="H1" location="本篇表次!A1" display="回本篇表次"/>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9"/>
  <sheetViews>
    <sheetView showGridLines="0" zoomScale="120" zoomScaleNormal="120" workbookViewId="0">
      <selection sqref="A1:N1"/>
    </sheetView>
  </sheetViews>
  <sheetFormatPr defaultColWidth="11" defaultRowHeight="15.75"/>
  <cols>
    <col min="1" max="14" width="8.5" style="40" customWidth="1"/>
    <col min="15" max="15" width="13.375" style="40" bestFit="1" customWidth="1"/>
    <col min="16" max="16384" width="11" style="40"/>
  </cols>
  <sheetData>
    <row r="1" spans="1:15" ht="27.75" customHeight="1">
      <c r="A1" s="435" t="s">
        <v>32</v>
      </c>
      <c r="B1" s="435"/>
      <c r="C1" s="435"/>
      <c r="D1" s="435"/>
      <c r="E1" s="435"/>
      <c r="F1" s="435"/>
      <c r="G1" s="435"/>
      <c r="H1" s="435"/>
      <c r="I1" s="435"/>
      <c r="J1" s="435"/>
      <c r="K1" s="435"/>
      <c r="L1" s="435"/>
      <c r="M1" s="435"/>
      <c r="N1" s="435"/>
      <c r="O1" s="295" t="s">
        <v>644</v>
      </c>
    </row>
    <row r="2" spans="1:15" ht="33" customHeight="1">
      <c r="A2" s="436"/>
      <c r="B2" s="438" t="s">
        <v>656</v>
      </c>
      <c r="C2" s="393" t="s">
        <v>657</v>
      </c>
      <c r="D2" s="441"/>
      <c r="E2" s="441"/>
      <c r="F2" s="441"/>
      <c r="G2" s="441"/>
      <c r="H2" s="441"/>
      <c r="I2" s="441"/>
      <c r="J2" s="441"/>
      <c r="K2" s="441"/>
      <c r="L2" s="441"/>
      <c r="M2" s="441"/>
      <c r="N2" s="441"/>
    </row>
    <row r="3" spans="1:15" ht="25.5" customHeight="1">
      <c r="A3" s="437"/>
      <c r="B3" s="439"/>
      <c r="C3" s="442" t="s">
        <v>325</v>
      </c>
      <c r="D3" s="438" t="s">
        <v>33</v>
      </c>
      <c r="E3" s="438" t="s">
        <v>34</v>
      </c>
      <c r="F3" s="438" t="s">
        <v>35</v>
      </c>
      <c r="G3" s="441" t="s">
        <v>658</v>
      </c>
      <c r="H3" s="441"/>
      <c r="I3" s="441"/>
      <c r="J3" s="441"/>
      <c r="K3" s="441"/>
      <c r="L3" s="438" t="s">
        <v>659</v>
      </c>
      <c r="M3" s="438" t="s">
        <v>660</v>
      </c>
      <c r="N3" s="438" t="s">
        <v>352</v>
      </c>
    </row>
    <row r="4" spans="1:15" ht="128.25" customHeight="1">
      <c r="A4" s="437"/>
      <c r="B4" s="440"/>
      <c r="C4" s="440"/>
      <c r="D4" s="440"/>
      <c r="E4" s="440"/>
      <c r="F4" s="440"/>
      <c r="G4" s="296" t="s">
        <v>661</v>
      </c>
      <c r="H4" s="296" t="s">
        <v>662</v>
      </c>
      <c r="I4" s="296" t="s">
        <v>663</v>
      </c>
      <c r="J4" s="3" t="s">
        <v>664</v>
      </c>
      <c r="K4" s="3" t="s">
        <v>665</v>
      </c>
      <c r="L4" s="440"/>
      <c r="M4" s="440"/>
      <c r="N4" s="440"/>
    </row>
    <row r="5" spans="1:15" ht="21" customHeight="1">
      <c r="A5" s="4" t="s">
        <v>37</v>
      </c>
      <c r="B5" s="5">
        <v>10597</v>
      </c>
      <c r="C5" s="5">
        <f t="shared" ref="C5:C11" si="0">SUM(D5:G5,L5,M5,N5)</f>
        <v>12732</v>
      </c>
      <c r="D5" s="5">
        <v>2</v>
      </c>
      <c r="E5" s="5">
        <v>67</v>
      </c>
      <c r="F5" s="5">
        <v>145</v>
      </c>
      <c r="G5" s="5">
        <f t="shared" ref="G5:G11" si="1">SUM(H5:K5)</f>
        <v>11464</v>
      </c>
      <c r="H5" s="5">
        <f>1943+3354</f>
        <v>5297</v>
      </c>
      <c r="I5" s="5">
        <f>4399+931</f>
        <v>5330</v>
      </c>
      <c r="J5" s="5">
        <v>661</v>
      </c>
      <c r="K5" s="5">
        <v>176</v>
      </c>
      <c r="L5" s="5">
        <v>26</v>
      </c>
      <c r="M5" s="5">
        <v>1025</v>
      </c>
      <c r="N5" s="5">
        <v>3</v>
      </c>
      <c r="O5" s="41"/>
    </row>
    <row r="6" spans="1:15" ht="21" customHeight="1">
      <c r="A6" s="4" t="s">
        <v>38</v>
      </c>
      <c r="B6" s="5">
        <v>10670</v>
      </c>
      <c r="C6" s="5">
        <f t="shared" si="0"/>
        <v>12306</v>
      </c>
      <c r="D6" s="5">
        <v>7</v>
      </c>
      <c r="E6" s="5">
        <v>75</v>
      </c>
      <c r="F6" s="5">
        <v>135</v>
      </c>
      <c r="G6" s="5">
        <f t="shared" si="1"/>
        <v>10644</v>
      </c>
      <c r="H6" s="5">
        <f>1718+2863</f>
        <v>4581</v>
      </c>
      <c r="I6" s="5">
        <f>4405+827</f>
        <v>5232</v>
      </c>
      <c r="J6" s="5">
        <v>687</v>
      </c>
      <c r="K6" s="5">
        <v>144</v>
      </c>
      <c r="L6" s="5">
        <v>29</v>
      </c>
      <c r="M6" s="5">
        <v>1413</v>
      </c>
      <c r="N6" s="5">
        <v>3</v>
      </c>
      <c r="O6" s="41"/>
    </row>
    <row r="7" spans="1:15" ht="21" customHeight="1">
      <c r="A7" s="4" t="s">
        <v>39</v>
      </c>
      <c r="B7" s="5">
        <v>9505</v>
      </c>
      <c r="C7" s="5">
        <f t="shared" si="0"/>
        <v>10976</v>
      </c>
      <c r="D7" s="5">
        <v>1</v>
      </c>
      <c r="E7" s="5">
        <v>52</v>
      </c>
      <c r="F7" s="5">
        <v>135</v>
      </c>
      <c r="G7" s="5">
        <f t="shared" si="1"/>
        <v>9518</v>
      </c>
      <c r="H7" s="5">
        <f>1560+2513</f>
        <v>4073</v>
      </c>
      <c r="I7" s="5">
        <f>4047+653</f>
        <v>4700</v>
      </c>
      <c r="J7" s="5">
        <v>613</v>
      </c>
      <c r="K7" s="5">
        <v>132</v>
      </c>
      <c r="L7" s="5">
        <v>32</v>
      </c>
      <c r="M7" s="5">
        <v>1234</v>
      </c>
      <c r="N7" s="5">
        <v>4</v>
      </c>
      <c r="O7" s="41"/>
    </row>
    <row r="8" spans="1:15" ht="21" customHeight="1">
      <c r="A8" s="4" t="s">
        <v>40</v>
      </c>
      <c r="B8" s="5">
        <v>9071</v>
      </c>
      <c r="C8" s="5">
        <f t="shared" si="0"/>
        <v>10601</v>
      </c>
      <c r="D8" s="5">
        <v>2</v>
      </c>
      <c r="E8" s="5">
        <v>71</v>
      </c>
      <c r="F8" s="5">
        <v>157</v>
      </c>
      <c r="G8" s="5">
        <f t="shared" si="1"/>
        <v>9283</v>
      </c>
      <c r="H8" s="5">
        <f>1678+2481</f>
        <v>4159</v>
      </c>
      <c r="I8" s="5">
        <f>3716+699</f>
        <v>4415</v>
      </c>
      <c r="J8" s="5">
        <v>586</v>
      </c>
      <c r="K8" s="5">
        <v>123</v>
      </c>
      <c r="L8" s="5">
        <v>15</v>
      </c>
      <c r="M8" s="5">
        <v>1071</v>
      </c>
      <c r="N8" s="5">
        <v>2</v>
      </c>
      <c r="O8" s="41"/>
    </row>
    <row r="9" spans="1:15" ht="21" customHeight="1">
      <c r="A9" s="4" t="s">
        <v>41</v>
      </c>
      <c r="B9" s="5">
        <v>8420</v>
      </c>
      <c r="C9" s="5">
        <f t="shared" si="0"/>
        <v>9893</v>
      </c>
      <c r="D9" s="5">
        <v>4</v>
      </c>
      <c r="E9" s="5">
        <v>60</v>
      </c>
      <c r="F9" s="5">
        <v>191</v>
      </c>
      <c r="G9" s="5">
        <f t="shared" si="1"/>
        <v>8619</v>
      </c>
      <c r="H9" s="5">
        <f>1582+2371</f>
        <v>3953</v>
      </c>
      <c r="I9" s="5">
        <f>3531+629</f>
        <v>4160</v>
      </c>
      <c r="J9" s="5">
        <v>441</v>
      </c>
      <c r="K9" s="5">
        <v>65</v>
      </c>
      <c r="L9" s="5">
        <v>14</v>
      </c>
      <c r="M9" s="5">
        <v>1004</v>
      </c>
      <c r="N9" s="5">
        <v>1</v>
      </c>
      <c r="O9" s="41"/>
    </row>
    <row r="10" spans="1:15" ht="21" customHeight="1">
      <c r="A10" s="4" t="s">
        <v>42</v>
      </c>
      <c r="B10" s="5">
        <v>8550</v>
      </c>
      <c r="C10" s="5">
        <f t="shared" si="0"/>
        <v>9913</v>
      </c>
      <c r="D10" s="5">
        <v>3</v>
      </c>
      <c r="E10" s="5">
        <v>84</v>
      </c>
      <c r="F10" s="5">
        <v>154</v>
      </c>
      <c r="G10" s="5">
        <f t="shared" si="1"/>
        <v>8467</v>
      </c>
      <c r="H10" s="5">
        <f>1704+2299</f>
        <v>4003</v>
      </c>
      <c r="I10" s="5">
        <f>3469+578</f>
        <v>4047</v>
      </c>
      <c r="J10" s="5">
        <v>351</v>
      </c>
      <c r="K10" s="5">
        <v>66</v>
      </c>
      <c r="L10" s="5">
        <v>14</v>
      </c>
      <c r="M10" s="5">
        <v>1152</v>
      </c>
      <c r="N10" s="5">
        <v>39</v>
      </c>
      <c r="O10" s="41"/>
    </row>
    <row r="11" spans="1:15" ht="21" customHeight="1">
      <c r="A11" s="4" t="s">
        <v>43</v>
      </c>
      <c r="B11" s="5">
        <v>9150</v>
      </c>
      <c r="C11" s="5">
        <f t="shared" si="0"/>
        <v>10777</v>
      </c>
      <c r="D11" s="5">
        <v>2</v>
      </c>
      <c r="E11" s="5">
        <v>54</v>
      </c>
      <c r="F11" s="5">
        <v>150</v>
      </c>
      <c r="G11" s="5">
        <f t="shared" si="1"/>
        <v>9309</v>
      </c>
      <c r="H11" s="5">
        <f>1802+2580</f>
        <v>4382</v>
      </c>
      <c r="I11" s="5">
        <f>3829+585</f>
        <v>4414</v>
      </c>
      <c r="J11" s="5">
        <v>456</v>
      </c>
      <c r="K11" s="5">
        <v>57</v>
      </c>
      <c r="L11" s="5">
        <v>16</v>
      </c>
      <c r="M11" s="5">
        <v>1241</v>
      </c>
      <c r="N11" s="5">
        <v>5</v>
      </c>
      <c r="O11" s="41"/>
    </row>
    <row r="12" spans="1:15" ht="21" customHeight="1">
      <c r="A12" s="4" t="s">
        <v>44</v>
      </c>
      <c r="B12" s="5">
        <v>8591</v>
      </c>
      <c r="C12" s="5">
        <v>9944</v>
      </c>
      <c r="D12" s="5">
        <v>2</v>
      </c>
      <c r="E12" s="5">
        <v>62</v>
      </c>
      <c r="F12" s="5">
        <v>115</v>
      </c>
      <c r="G12" s="5">
        <v>8508</v>
      </c>
      <c r="H12" s="5">
        <v>4051</v>
      </c>
      <c r="I12" s="5">
        <v>4058</v>
      </c>
      <c r="J12" s="5">
        <v>353</v>
      </c>
      <c r="K12" s="5">
        <v>46</v>
      </c>
      <c r="L12" s="5">
        <v>18</v>
      </c>
      <c r="M12" s="5">
        <v>1238</v>
      </c>
      <c r="N12" s="5">
        <v>1</v>
      </c>
      <c r="O12" s="41"/>
    </row>
    <row r="13" spans="1:15" ht="21" customHeight="1">
      <c r="A13" s="4" t="s">
        <v>615</v>
      </c>
      <c r="B13" s="5">
        <v>9252</v>
      </c>
      <c r="C13" s="5">
        <v>10697</v>
      </c>
      <c r="D13" s="5">
        <v>6</v>
      </c>
      <c r="E13" s="5">
        <v>35</v>
      </c>
      <c r="F13" s="5">
        <v>139</v>
      </c>
      <c r="G13" s="5">
        <v>9336</v>
      </c>
      <c r="H13" s="5">
        <f>2115+2520</f>
        <v>4635</v>
      </c>
      <c r="I13" s="5">
        <f>3704+551</f>
        <v>4255</v>
      </c>
      <c r="J13" s="5">
        <v>407</v>
      </c>
      <c r="K13" s="5">
        <v>39</v>
      </c>
      <c r="L13" s="5">
        <v>11</v>
      </c>
      <c r="M13" s="5">
        <v>1170</v>
      </c>
      <c r="N13" s="5">
        <v>0</v>
      </c>
      <c r="O13" s="41"/>
    </row>
    <row r="14" spans="1:15" ht="21" customHeight="1">
      <c r="A14" s="6" t="s">
        <v>616</v>
      </c>
      <c r="B14" s="7">
        <v>9712</v>
      </c>
      <c r="C14" s="7">
        <v>10973</v>
      </c>
      <c r="D14" s="7">
        <v>1</v>
      </c>
      <c r="E14" s="7">
        <v>63</v>
      </c>
      <c r="F14" s="7">
        <v>122</v>
      </c>
      <c r="G14" s="7">
        <v>9217</v>
      </c>
      <c r="H14" s="7">
        <v>4758</v>
      </c>
      <c r="I14" s="7">
        <v>4013</v>
      </c>
      <c r="J14" s="7">
        <v>422</v>
      </c>
      <c r="K14" s="7">
        <v>24</v>
      </c>
      <c r="L14" s="7">
        <v>9</v>
      </c>
      <c r="M14" s="7">
        <v>1559</v>
      </c>
      <c r="N14" s="7">
        <v>2</v>
      </c>
      <c r="O14" s="41"/>
    </row>
    <row r="15" spans="1:15" ht="15.95" customHeight="1">
      <c r="A15" s="397" t="s">
        <v>46</v>
      </c>
      <c r="B15" s="397"/>
      <c r="C15" s="397"/>
      <c r="D15" s="397"/>
      <c r="E15" s="397"/>
      <c r="F15" s="397"/>
      <c r="G15" s="397"/>
      <c r="H15" s="397"/>
      <c r="I15" s="397"/>
      <c r="J15" s="397"/>
      <c r="K15" s="397"/>
      <c r="L15" s="289"/>
      <c r="M15" s="289"/>
      <c r="N15" s="289"/>
      <c r="O15" s="41"/>
    </row>
    <row r="16" spans="1:15">
      <c r="A16" s="397" t="s">
        <v>521</v>
      </c>
      <c r="B16" s="397"/>
      <c r="C16" s="397"/>
      <c r="D16" s="397"/>
      <c r="E16" s="397"/>
      <c r="F16" s="397"/>
      <c r="G16" s="397"/>
      <c r="H16" s="397"/>
      <c r="I16" s="397"/>
      <c r="J16" s="397"/>
      <c r="K16" s="397"/>
      <c r="L16" s="397"/>
      <c r="M16" s="397"/>
      <c r="N16" s="397"/>
      <c r="O16" s="41"/>
    </row>
    <row r="17" spans="1:15">
      <c r="A17" s="397" t="s">
        <v>47</v>
      </c>
      <c r="B17" s="397"/>
      <c r="C17" s="397"/>
      <c r="D17" s="397"/>
      <c r="E17" s="397"/>
      <c r="F17" s="397"/>
      <c r="G17" s="397"/>
      <c r="H17" s="397"/>
      <c r="I17" s="397"/>
      <c r="J17" s="397"/>
      <c r="K17" s="397"/>
      <c r="L17" s="397"/>
      <c r="M17" s="397"/>
      <c r="N17" s="397"/>
      <c r="O17" s="41"/>
    </row>
    <row r="18" spans="1:15">
      <c r="A18" s="397" t="s">
        <v>666</v>
      </c>
      <c r="B18" s="397"/>
      <c r="C18" s="397"/>
      <c r="D18" s="397"/>
      <c r="E18" s="397"/>
      <c r="F18" s="397"/>
      <c r="G18" s="397"/>
      <c r="H18" s="397"/>
      <c r="I18" s="397"/>
      <c r="J18" s="397"/>
      <c r="K18" s="397"/>
      <c r="L18" s="397"/>
      <c r="M18" s="397"/>
      <c r="N18" s="397"/>
      <c r="O18" s="41"/>
    </row>
    <row r="19" spans="1:15">
      <c r="A19" s="397" t="s">
        <v>655</v>
      </c>
      <c r="B19" s="397"/>
      <c r="C19" s="397"/>
      <c r="D19" s="397"/>
      <c r="E19" s="397"/>
      <c r="F19" s="397"/>
      <c r="G19" s="397"/>
      <c r="H19" s="397"/>
      <c r="I19" s="397"/>
      <c r="J19" s="397"/>
      <c r="K19" s="397"/>
      <c r="L19" s="397"/>
      <c r="M19" s="397"/>
      <c r="N19" s="397"/>
      <c r="O19" s="41"/>
    </row>
  </sheetData>
  <mergeCells count="17">
    <mergeCell ref="A19:N19"/>
    <mergeCell ref="A18:N18"/>
    <mergeCell ref="M3:M4"/>
    <mergeCell ref="N3:N4"/>
    <mergeCell ref="A15:K15"/>
    <mergeCell ref="A16:N16"/>
    <mergeCell ref="A17:N17"/>
    <mergeCell ref="A1:N1"/>
    <mergeCell ref="A2:A4"/>
    <mergeCell ref="B2:B4"/>
    <mergeCell ref="C2:N2"/>
    <mergeCell ref="C3:C4"/>
    <mergeCell ref="D3:D4"/>
    <mergeCell ref="E3:E4"/>
    <mergeCell ref="F3:F4"/>
    <mergeCell ref="G3:K3"/>
    <mergeCell ref="L3:L4"/>
  </mergeCells>
  <phoneticPr fontId="2" type="noConversion"/>
  <conditionalFormatting sqref="D21:N30">
    <cfRule type="cellIs" dxfId="4" priority="1" operator="equal">
      <formula>2</formula>
    </cfRule>
  </conditionalFormatting>
  <hyperlinks>
    <hyperlink ref="O1" location="本篇表次!A1" display="回本篇表次"/>
  </hyperlinks>
  <printOptions horizontalCentered="1" verticalCentered="1"/>
  <pageMargins left="0.70866141732283472" right="0.70866141732283472" top="0.74803149606299213" bottom="0.74803149606299213" header="0.31496062992125984" footer="0.31496062992125984"/>
  <pageSetup paperSize="224"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35"/>
  <sheetViews>
    <sheetView showGridLines="0" zoomScale="120" zoomScaleNormal="120" workbookViewId="0">
      <selection sqref="A1:E1"/>
    </sheetView>
  </sheetViews>
  <sheetFormatPr defaultColWidth="10.375" defaultRowHeight="15.75"/>
  <cols>
    <col min="1" max="3" width="10.375" style="40"/>
    <col min="4" max="4" width="20.375" style="40" customWidth="1"/>
    <col min="5" max="5" width="10.375" style="40"/>
    <col min="6" max="6" width="12.625" style="40" bestFit="1" customWidth="1"/>
    <col min="7" max="16384" width="10.375" style="40"/>
  </cols>
  <sheetData>
    <row r="1" spans="1:6" ht="30" customHeight="1">
      <c r="A1" s="452" t="s">
        <v>633</v>
      </c>
      <c r="B1" s="452"/>
      <c r="C1" s="452"/>
      <c r="D1" s="452"/>
      <c r="E1" s="452"/>
      <c r="F1" s="295" t="s">
        <v>644</v>
      </c>
    </row>
    <row r="2" spans="1:6" ht="18.600000000000001" customHeight="1">
      <c r="A2" s="395" t="s">
        <v>667</v>
      </c>
      <c r="B2" s="395"/>
      <c r="C2" s="395"/>
      <c r="D2" s="395"/>
      <c r="E2" s="9">
        <v>320</v>
      </c>
    </row>
    <row r="3" spans="1:6" ht="18.600000000000001" customHeight="1">
      <c r="A3" s="436" t="s">
        <v>668</v>
      </c>
      <c r="B3" s="448" t="s">
        <v>325</v>
      </c>
      <c r="C3" s="448"/>
      <c r="D3" s="448"/>
      <c r="E3" s="10">
        <v>351</v>
      </c>
    </row>
    <row r="4" spans="1:6" ht="18.600000000000001" customHeight="1">
      <c r="A4" s="437"/>
      <c r="B4" s="453" t="s">
        <v>669</v>
      </c>
      <c r="C4" s="453"/>
      <c r="D4" s="453"/>
      <c r="E4" s="5">
        <v>321</v>
      </c>
    </row>
    <row r="5" spans="1:6" ht="18.600000000000001" customHeight="1">
      <c r="A5" s="437"/>
      <c r="B5" s="454" t="s">
        <v>670</v>
      </c>
      <c r="C5" s="454"/>
      <c r="D5" s="454"/>
      <c r="E5" s="5">
        <v>313</v>
      </c>
    </row>
    <row r="6" spans="1:6" ht="18.600000000000001" customHeight="1">
      <c r="A6" s="437"/>
      <c r="B6" s="449" t="s">
        <v>671</v>
      </c>
      <c r="C6" s="449"/>
      <c r="D6" s="449"/>
      <c r="E6" s="5">
        <v>29</v>
      </c>
    </row>
    <row r="7" spans="1:6" ht="18.600000000000001" customHeight="1">
      <c r="A7" s="437"/>
      <c r="B7" s="449" t="s">
        <v>672</v>
      </c>
      <c r="C7" s="449"/>
      <c r="D7" s="449"/>
      <c r="E7" s="5">
        <v>48</v>
      </c>
    </row>
    <row r="8" spans="1:6" ht="18.600000000000001" customHeight="1">
      <c r="A8" s="437"/>
      <c r="B8" s="449" t="s">
        <v>673</v>
      </c>
      <c r="C8" s="449"/>
      <c r="D8" s="449"/>
      <c r="E8" s="5">
        <v>139</v>
      </c>
    </row>
    <row r="9" spans="1:6" ht="18.600000000000001" customHeight="1">
      <c r="A9" s="437"/>
      <c r="B9" s="449" t="s">
        <v>674</v>
      </c>
      <c r="C9" s="449"/>
      <c r="D9" s="449"/>
      <c r="E9" s="5">
        <v>61</v>
      </c>
    </row>
    <row r="10" spans="1:6" ht="18.600000000000001" customHeight="1">
      <c r="A10" s="437"/>
      <c r="B10" s="449" t="s">
        <v>675</v>
      </c>
      <c r="C10" s="449"/>
      <c r="D10" s="449"/>
      <c r="E10" s="5">
        <v>32</v>
      </c>
    </row>
    <row r="11" spans="1:6" ht="18.600000000000001" customHeight="1">
      <c r="A11" s="437"/>
      <c r="B11" s="449" t="s">
        <v>676</v>
      </c>
      <c r="C11" s="449"/>
      <c r="D11" s="449"/>
      <c r="E11" s="5">
        <v>4</v>
      </c>
    </row>
    <row r="12" spans="1:6" ht="18.600000000000001" customHeight="1">
      <c r="A12" s="437"/>
      <c r="B12" s="449" t="s">
        <v>677</v>
      </c>
      <c r="C12" s="449"/>
      <c r="D12" s="449"/>
      <c r="E12" s="5" t="s">
        <v>617</v>
      </c>
    </row>
    <row r="13" spans="1:6" ht="18.600000000000001" customHeight="1">
      <c r="A13" s="437"/>
      <c r="B13" s="449" t="s">
        <v>678</v>
      </c>
      <c r="C13" s="449"/>
      <c r="D13" s="449"/>
      <c r="E13" s="5" t="s">
        <v>617</v>
      </c>
    </row>
    <row r="14" spans="1:6" ht="18.600000000000001" customHeight="1">
      <c r="A14" s="437"/>
      <c r="B14" s="449" t="s">
        <v>679</v>
      </c>
      <c r="C14" s="449"/>
      <c r="D14" s="449"/>
      <c r="E14" s="5" t="s">
        <v>617</v>
      </c>
    </row>
    <row r="15" spans="1:6" ht="18.600000000000001" customHeight="1">
      <c r="A15" s="437"/>
      <c r="B15" s="450" t="s">
        <v>680</v>
      </c>
      <c r="C15" s="450"/>
      <c r="D15" s="450"/>
      <c r="E15" s="5">
        <v>5</v>
      </c>
    </row>
    <row r="16" spans="1:6" ht="18.600000000000001" customHeight="1">
      <c r="A16" s="437"/>
      <c r="B16" s="450" t="s">
        <v>681</v>
      </c>
      <c r="C16" s="450"/>
      <c r="D16" s="450"/>
      <c r="E16" s="5">
        <v>3</v>
      </c>
    </row>
    <row r="17" spans="1:5" ht="18.600000000000001" customHeight="1">
      <c r="A17" s="437"/>
      <c r="B17" s="443" t="s">
        <v>682</v>
      </c>
      <c r="C17" s="443"/>
      <c r="D17" s="443"/>
      <c r="E17" s="5" t="s">
        <v>9</v>
      </c>
    </row>
    <row r="18" spans="1:5" ht="18.600000000000001" customHeight="1">
      <c r="A18" s="437"/>
      <c r="B18" s="443" t="s">
        <v>683</v>
      </c>
      <c r="C18" s="443"/>
      <c r="D18" s="443"/>
      <c r="E18" s="5">
        <v>1</v>
      </c>
    </row>
    <row r="19" spans="1:5" ht="18.600000000000001" customHeight="1">
      <c r="A19" s="437"/>
      <c r="B19" s="443" t="s">
        <v>684</v>
      </c>
      <c r="C19" s="443"/>
      <c r="D19" s="443"/>
      <c r="E19" s="5">
        <v>12</v>
      </c>
    </row>
    <row r="20" spans="1:5" ht="18.600000000000001" customHeight="1">
      <c r="A20" s="437"/>
      <c r="B20" s="443" t="s">
        <v>685</v>
      </c>
      <c r="C20" s="443"/>
      <c r="D20" s="443"/>
      <c r="E20" s="5" t="s">
        <v>617</v>
      </c>
    </row>
    <row r="21" spans="1:5" ht="18.600000000000001" customHeight="1">
      <c r="A21" s="437"/>
      <c r="B21" s="443" t="s">
        <v>686</v>
      </c>
      <c r="C21" s="443"/>
      <c r="D21" s="443"/>
      <c r="E21" s="5">
        <v>3</v>
      </c>
    </row>
    <row r="22" spans="1:5" ht="18.600000000000001" customHeight="1">
      <c r="A22" s="437"/>
      <c r="B22" s="443" t="s">
        <v>687</v>
      </c>
      <c r="C22" s="443"/>
      <c r="D22" s="443"/>
      <c r="E22" s="5">
        <v>1</v>
      </c>
    </row>
    <row r="23" spans="1:5" ht="18.600000000000001" customHeight="1">
      <c r="A23" s="437"/>
      <c r="B23" s="443" t="s">
        <v>688</v>
      </c>
      <c r="C23" s="443"/>
      <c r="D23" s="443"/>
      <c r="E23" s="5">
        <v>12</v>
      </c>
    </row>
    <row r="24" spans="1:5" ht="18.600000000000001" customHeight="1">
      <c r="A24" s="447"/>
      <c r="B24" s="446" t="s">
        <v>51</v>
      </c>
      <c r="C24" s="446"/>
      <c r="D24" s="446"/>
      <c r="E24" s="7">
        <v>1</v>
      </c>
    </row>
    <row r="25" spans="1:5" ht="18.600000000000001" customHeight="1">
      <c r="A25" s="436" t="s">
        <v>689</v>
      </c>
      <c r="B25" s="448" t="s">
        <v>325</v>
      </c>
      <c r="C25" s="448"/>
      <c r="D25" s="448"/>
      <c r="E25" s="5">
        <f>SUM(E26:E32)</f>
        <v>219</v>
      </c>
    </row>
    <row r="26" spans="1:5" ht="18.600000000000001" customHeight="1">
      <c r="A26" s="437"/>
      <c r="B26" s="444" t="s">
        <v>690</v>
      </c>
      <c r="C26" s="444"/>
      <c r="D26" s="444"/>
      <c r="E26" s="5">
        <v>219</v>
      </c>
    </row>
    <row r="27" spans="1:5" ht="18.600000000000001" customHeight="1">
      <c r="A27" s="437"/>
      <c r="B27" s="444" t="s">
        <v>664</v>
      </c>
      <c r="C27" s="444"/>
      <c r="D27" s="444"/>
      <c r="E27" s="5" t="s">
        <v>49</v>
      </c>
    </row>
    <row r="28" spans="1:5" ht="18.600000000000001" customHeight="1">
      <c r="A28" s="437"/>
      <c r="B28" s="444" t="s">
        <v>691</v>
      </c>
      <c r="C28" s="444"/>
      <c r="D28" s="444"/>
      <c r="E28" s="5" t="s">
        <v>49</v>
      </c>
    </row>
    <row r="29" spans="1:5" ht="18.600000000000001" customHeight="1">
      <c r="A29" s="437"/>
      <c r="B29" s="444" t="s">
        <v>692</v>
      </c>
      <c r="C29" s="444"/>
      <c r="D29" s="444"/>
      <c r="E29" s="5" t="s">
        <v>49</v>
      </c>
    </row>
    <row r="30" spans="1:5" ht="18.600000000000001" customHeight="1">
      <c r="A30" s="437"/>
      <c r="B30" s="444" t="s">
        <v>693</v>
      </c>
      <c r="C30" s="444"/>
      <c r="D30" s="444"/>
      <c r="E30" s="5" t="s">
        <v>49</v>
      </c>
    </row>
    <row r="31" spans="1:5" ht="18.600000000000001" customHeight="1">
      <c r="A31" s="437"/>
      <c r="B31" s="444" t="s">
        <v>694</v>
      </c>
      <c r="C31" s="444"/>
      <c r="D31" s="444"/>
      <c r="E31" s="5" t="s">
        <v>9</v>
      </c>
    </row>
    <row r="32" spans="1:5" ht="18.600000000000001" customHeight="1">
      <c r="A32" s="447"/>
      <c r="B32" s="445" t="s">
        <v>695</v>
      </c>
      <c r="C32" s="445"/>
      <c r="D32" s="445"/>
      <c r="E32" s="5">
        <v>0</v>
      </c>
    </row>
    <row r="33" spans="1:5" ht="18.600000000000001" customHeight="1">
      <c r="A33" s="395" t="s">
        <v>696</v>
      </c>
      <c r="B33" s="395"/>
      <c r="C33" s="395"/>
      <c r="D33" s="395"/>
      <c r="E33" s="9">
        <v>220</v>
      </c>
    </row>
    <row r="34" spans="1:5">
      <c r="A34" s="290" t="s">
        <v>52</v>
      </c>
      <c r="B34" s="290"/>
      <c r="C34" s="290"/>
      <c r="D34" s="11"/>
      <c r="E34" s="5"/>
    </row>
    <row r="35" spans="1:5" ht="36.75" customHeight="1">
      <c r="A35" s="451" t="s">
        <v>697</v>
      </c>
      <c r="B35" s="451"/>
      <c r="C35" s="451"/>
      <c r="D35" s="451"/>
      <c r="E35" s="451"/>
    </row>
  </sheetData>
  <mergeCells count="36">
    <mergeCell ref="A35:E35"/>
    <mergeCell ref="A1:E1"/>
    <mergeCell ref="A2:D2"/>
    <mergeCell ref="A3:A24"/>
    <mergeCell ref="B3:D3"/>
    <mergeCell ref="B4:D4"/>
    <mergeCell ref="B5:D5"/>
    <mergeCell ref="B6:D6"/>
    <mergeCell ref="B7:D7"/>
    <mergeCell ref="B8:D8"/>
    <mergeCell ref="B9:D9"/>
    <mergeCell ref="B21:D21"/>
    <mergeCell ref="B10:D10"/>
    <mergeCell ref="B11:D11"/>
    <mergeCell ref="B12:D12"/>
    <mergeCell ref="B13:D13"/>
    <mergeCell ref="B14:D14"/>
    <mergeCell ref="B15:D15"/>
    <mergeCell ref="B16:D16"/>
    <mergeCell ref="B17:D17"/>
    <mergeCell ref="B18:D18"/>
    <mergeCell ref="B19:D19"/>
    <mergeCell ref="B20:D20"/>
    <mergeCell ref="B31:D31"/>
    <mergeCell ref="B32:D32"/>
    <mergeCell ref="A33:D33"/>
    <mergeCell ref="B22:D22"/>
    <mergeCell ref="B23:D23"/>
    <mergeCell ref="B24:D24"/>
    <mergeCell ref="A25:A32"/>
    <mergeCell ref="B25:D25"/>
    <mergeCell ref="B26:D26"/>
    <mergeCell ref="B27:D27"/>
    <mergeCell ref="B28:D28"/>
    <mergeCell ref="B29:D29"/>
    <mergeCell ref="B30:D30"/>
  </mergeCells>
  <phoneticPr fontId="2" type="noConversion"/>
  <hyperlinks>
    <hyperlink ref="F1" location="本篇表次!A1" display="回本篇表次"/>
  </hyperlinks>
  <printOptions horizontalCentered="1" verticalCentered="1"/>
  <pageMargins left="0.70866141732283472" right="0.70866141732283472" top="0.74803149606299213" bottom="0.74803149606299213" header="0.31496062992125984" footer="0.31496062992125984"/>
  <pageSetup paperSize="224"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29"/>
  <sheetViews>
    <sheetView showGridLines="0" zoomScaleNormal="100" workbookViewId="0">
      <selection sqref="A1:P1"/>
    </sheetView>
  </sheetViews>
  <sheetFormatPr defaultColWidth="11" defaultRowHeight="16.5"/>
  <cols>
    <col min="1" max="1" width="6.875" customWidth="1"/>
    <col min="2" max="16" width="10.625" customWidth="1"/>
    <col min="17" max="17" width="13.125" bestFit="1" customWidth="1"/>
  </cols>
  <sheetData>
    <row r="1" spans="1:18" ht="26.1" customHeight="1">
      <c r="A1" s="389" t="s">
        <v>286</v>
      </c>
      <c r="B1" s="389"/>
      <c r="C1" s="389"/>
      <c r="D1" s="389"/>
      <c r="E1" s="389"/>
      <c r="F1" s="389"/>
      <c r="G1" s="389"/>
      <c r="H1" s="389"/>
      <c r="I1" s="389"/>
      <c r="J1" s="389"/>
      <c r="K1" s="389"/>
      <c r="L1" s="389"/>
      <c r="M1" s="389"/>
      <c r="N1" s="389"/>
      <c r="O1" s="389"/>
      <c r="P1" s="389"/>
      <c r="Q1" s="242" t="s">
        <v>548</v>
      </c>
    </row>
    <row r="2" spans="1:18" ht="20.100000000000001" customHeight="1">
      <c r="A2" s="391"/>
      <c r="B2" s="455" t="s">
        <v>287</v>
      </c>
      <c r="C2" s="455"/>
      <c r="D2" s="455"/>
      <c r="E2" s="455"/>
      <c r="F2" s="455"/>
      <c r="G2" s="455"/>
      <c r="H2" s="455"/>
      <c r="I2" s="455"/>
      <c r="J2" s="455"/>
      <c r="K2" s="455"/>
      <c r="L2" s="455"/>
      <c r="M2" s="456" t="s">
        <v>288</v>
      </c>
      <c r="N2" s="457"/>
      <c r="O2" s="457"/>
      <c r="P2" s="457"/>
    </row>
    <row r="3" spans="1:18" ht="20.100000000000001" customHeight="1">
      <c r="A3" s="392"/>
      <c r="B3" s="455" t="s">
        <v>289</v>
      </c>
      <c r="C3" s="455"/>
      <c r="D3" s="455"/>
      <c r="E3" s="455"/>
      <c r="F3" s="455"/>
      <c r="G3" s="455" t="s">
        <v>290</v>
      </c>
      <c r="H3" s="455"/>
      <c r="I3" s="455"/>
      <c r="J3" s="455" t="s">
        <v>291</v>
      </c>
      <c r="K3" s="455"/>
      <c r="L3" s="460"/>
      <c r="M3" s="458"/>
      <c r="N3" s="459"/>
      <c r="O3" s="459"/>
      <c r="P3" s="459"/>
    </row>
    <row r="4" spans="1:18" ht="20.100000000000001" customHeight="1">
      <c r="A4" s="392"/>
      <c r="B4" s="455" t="s">
        <v>292</v>
      </c>
      <c r="C4" s="455"/>
      <c r="D4" s="455"/>
      <c r="E4" s="461" t="s">
        <v>293</v>
      </c>
      <c r="F4" s="391" t="s">
        <v>75</v>
      </c>
      <c r="G4" s="461" t="s">
        <v>292</v>
      </c>
      <c r="H4" s="461" t="s">
        <v>294</v>
      </c>
      <c r="I4" s="391" t="s">
        <v>75</v>
      </c>
      <c r="J4" s="461" t="s">
        <v>292</v>
      </c>
      <c r="K4" s="461" t="s">
        <v>294</v>
      </c>
      <c r="L4" s="468" t="s">
        <v>75</v>
      </c>
      <c r="M4" s="464" t="s">
        <v>292</v>
      </c>
      <c r="N4" s="455"/>
      <c r="O4" s="455"/>
      <c r="P4" s="461" t="s">
        <v>294</v>
      </c>
    </row>
    <row r="5" spans="1:18" ht="20.100000000000001" customHeight="1">
      <c r="A5" s="392"/>
      <c r="B5" s="103" t="s">
        <v>0</v>
      </c>
      <c r="C5" s="103" t="s">
        <v>53</v>
      </c>
      <c r="D5" s="103" t="s">
        <v>54</v>
      </c>
      <c r="E5" s="462"/>
      <c r="F5" s="463"/>
      <c r="G5" s="462"/>
      <c r="H5" s="462"/>
      <c r="I5" s="463"/>
      <c r="J5" s="462"/>
      <c r="K5" s="462"/>
      <c r="L5" s="469"/>
      <c r="M5" s="105" t="s">
        <v>0</v>
      </c>
      <c r="N5" s="104" t="s">
        <v>53</v>
      </c>
      <c r="O5" s="104" t="s">
        <v>54</v>
      </c>
      <c r="P5" s="462"/>
    </row>
    <row r="6" spans="1:18" ht="30" customHeight="1">
      <c r="A6" s="13" t="s">
        <v>295</v>
      </c>
      <c r="B6" s="14">
        <f t="shared" ref="B6:B12" si="0">C6+D6</f>
        <v>9768</v>
      </c>
      <c r="C6" s="14">
        <f>376+8144</f>
        <v>8520</v>
      </c>
      <c r="D6" s="14">
        <f>33+1215</f>
        <v>1248</v>
      </c>
      <c r="E6" s="240">
        <f>B6/B$6*100</f>
        <v>100</v>
      </c>
      <c r="F6" s="15">
        <f t="shared" ref="F6:F11" si="1">SUM(L6,I6)</f>
        <v>100.00000000000001</v>
      </c>
      <c r="G6" s="14">
        <v>9359</v>
      </c>
      <c r="H6" s="240">
        <f>G6/G$6*100</f>
        <v>100</v>
      </c>
      <c r="I6" s="15">
        <f t="shared" ref="I6:I12" si="2">G6/B6*100</f>
        <v>95.812858312858324</v>
      </c>
      <c r="J6" s="14">
        <v>409</v>
      </c>
      <c r="K6" s="240">
        <f>J6/J$6*100</f>
        <v>100</v>
      </c>
      <c r="L6" s="106">
        <f t="shared" ref="L6:L12" si="3">J6/B6*100</f>
        <v>4.1871416871416871</v>
      </c>
      <c r="M6" s="108">
        <f t="shared" ref="M6:M12" si="4">SUM(N6,O6)</f>
        <v>2105</v>
      </c>
      <c r="N6" s="109">
        <v>1547</v>
      </c>
      <c r="O6" s="110">
        <v>558</v>
      </c>
      <c r="P6" s="240">
        <f>M6/M$6*100</f>
        <v>100</v>
      </c>
      <c r="Q6" s="306"/>
      <c r="R6" s="306"/>
    </row>
    <row r="7" spans="1:18" ht="30" customHeight="1">
      <c r="A7" s="13" t="s">
        <v>296</v>
      </c>
      <c r="B7" s="14">
        <f t="shared" si="0"/>
        <v>8847</v>
      </c>
      <c r="C7" s="14">
        <f>261+7410</f>
        <v>7671</v>
      </c>
      <c r="D7" s="14">
        <f>18+1158</f>
        <v>1176</v>
      </c>
      <c r="E7" s="240">
        <f t="shared" ref="E7:E15" si="5">B7/B$6*100</f>
        <v>90.571253071253068</v>
      </c>
      <c r="F7" s="15">
        <f t="shared" si="1"/>
        <v>99.999999999999986</v>
      </c>
      <c r="G7" s="14">
        <v>8568</v>
      </c>
      <c r="H7" s="240">
        <f t="shared" ref="H7:H15" si="6">G7/G$6*100</f>
        <v>91.54824233358265</v>
      </c>
      <c r="I7" s="15">
        <f t="shared" si="2"/>
        <v>96.846388606307215</v>
      </c>
      <c r="J7" s="14">
        <v>279</v>
      </c>
      <c r="K7" s="240">
        <f t="shared" ref="K7:K15" si="7">J7/J$6*100</f>
        <v>68.215158924205383</v>
      </c>
      <c r="L7" s="106">
        <f t="shared" si="3"/>
        <v>3.1536113936927768</v>
      </c>
      <c r="M7" s="108">
        <f t="shared" si="4"/>
        <v>2076</v>
      </c>
      <c r="N7" s="109">
        <v>1528</v>
      </c>
      <c r="O7" s="110">
        <v>548</v>
      </c>
      <c r="P7" s="240">
        <f t="shared" ref="P7:P15" si="8">M7/M$6*100</f>
        <v>98.62232779097387</v>
      </c>
      <c r="Q7" s="306"/>
      <c r="R7" s="306"/>
    </row>
    <row r="8" spans="1:18" ht="30" customHeight="1">
      <c r="A8" s="13" t="s">
        <v>297</v>
      </c>
      <c r="B8" s="14">
        <f t="shared" si="0"/>
        <v>8393</v>
      </c>
      <c r="C8" s="14">
        <f>244+7042</f>
        <v>7286</v>
      </c>
      <c r="D8" s="14">
        <f>17+1090</f>
        <v>1107</v>
      </c>
      <c r="E8" s="240">
        <f t="shared" si="5"/>
        <v>85.923423423423429</v>
      </c>
      <c r="F8" s="15">
        <f t="shared" si="1"/>
        <v>100</v>
      </c>
      <c r="G8" s="14">
        <v>8132</v>
      </c>
      <c r="H8" s="240">
        <f t="shared" si="6"/>
        <v>86.889624959931623</v>
      </c>
      <c r="I8" s="15">
        <f t="shared" si="2"/>
        <v>96.890265697605145</v>
      </c>
      <c r="J8" s="14">
        <v>261</v>
      </c>
      <c r="K8" s="240">
        <f t="shared" si="7"/>
        <v>63.814180929095357</v>
      </c>
      <c r="L8" s="106">
        <f t="shared" si="3"/>
        <v>3.1097343023948532</v>
      </c>
      <c r="M8" s="108">
        <f t="shared" si="4"/>
        <v>1386</v>
      </c>
      <c r="N8" s="109">
        <v>1000</v>
      </c>
      <c r="O8" s="110">
        <v>386</v>
      </c>
      <c r="P8" s="240">
        <f t="shared" si="8"/>
        <v>65.843230403800476</v>
      </c>
      <c r="Q8" s="306"/>
      <c r="R8" s="306"/>
    </row>
    <row r="9" spans="1:18" ht="30" customHeight="1">
      <c r="A9" s="13" t="s">
        <v>298</v>
      </c>
      <c r="B9" s="14">
        <f t="shared" si="0"/>
        <v>8741</v>
      </c>
      <c r="C9" s="14">
        <f>270+7351</f>
        <v>7621</v>
      </c>
      <c r="D9" s="14">
        <f>23+1097</f>
        <v>1120</v>
      </c>
      <c r="E9" s="240">
        <f t="shared" si="5"/>
        <v>89.486076986076995</v>
      </c>
      <c r="F9" s="15">
        <f t="shared" si="1"/>
        <v>100</v>
      </c>
      <c r="G9" s="14">
        <v>8448</v>
      </c>
      <c r="H9" s="240">
        <f t="shared" si="6"/>
        <v>90.266054065605289</v>
      </c>
      <c r="I9" s="15">
        <f t="shared" si="2"/>
        <v>96.647980780231094</v>
      </c>
      <c r="J9" s="14">
        <v>293</v>
      </c>
      <c r="K9" s="240">
        <f t="shared" si="7"/>
        <v>71.638141809290957</v>
      </c>
      <c r="L9" s="106">
        <f t="shared" si="3"/>
        <v>3.3520192197689052</v>
      </c>
      <c r="M9" s="108">
        <f t="shared" si="4"/>
        <v>835</v>
      </c>
      <c r="N9" s="109">
        <v>596</v>
      </c>
      <c r="O9" s="110">
        <v>239</v>
      </c>
      <c r="P9" s="240">
        <f t="shared" si="8"/>
        <v>39.667458432304038</v>
      </c>
      <c r="Q9" s="306"/>
      <c r="R9" s="306"/>
    </row>
    <row r="10" spans="1:18" ht="30" customHeight="1">
      <c r="A10" s="13" t="s">
        <v>299</v>
      </c>
      <c r="B10" s="14">
        <f t="shared" si="0"/>
        <v>8269</v>
      </c>
      <c r="C10" s="14">
        <f>300+6907</f>
        <v>7207</v>
      </c>
      <c r="D10" s="14">
        <f>25+1037</f>
        <v>1062</v>
      </c>
      <c r="E10" s="240">
        <f t="shared" si="5"/>
        <v>84.653972153972163</v>
      </c>
      <c r="F10" s="15">
        <f t="shared" si="1"/>
        <v>99.999999999999986</v>
      </c>
      <c r="G10" s="14">
        <v>7944</v>
      </c>
      <c r="H10" s="240">
        <f t="shared" si="6"/>
        <v>84.880863340100447</v>
      </c>
      <c r="I10" s="15">
        <f t="shared" si="2"/>
        <v>96.069657757890909</v>
      </c>
      <c r="J10" s="14">
        <v>325</v>
      </c>
      <c r="K10" s="240">
        <f t="shared" si="7"/>
        <v>79.462102689486557</v>
      </c>
      <c r="L10" s="106">
        <f t="shared" si="3"/>
        <v>3.9303422421090821</v>
      </c>
      <c r="M10" s="108">
        <f t="shared" si="4"/>
        <v>675</v>
      </c>
      <c r="N10" s="109">
        <v>468</v>
      </c>
      <c r="O10" s="110">
        <v>207</v>
      </c>
      <c r="P10" s="240">
        <f t="shared" si="8"/>
        <v>32.066508313539195</v>
      </c>
      <c r="Q10" s="306"/>
      <c r="R10" s="306"/>
    </row>
    <row r="11" spans="1:18" ht="30" customHeight="1">
      <c r="A11" s="13" t="s">
        <v>300</v>
      </c>
      <c r="B11" s="14">
        <f t="shared" si="0"/>
        <v>8065</v>
      </c>
      <c r="C11" s="14">
        <f>210+6803</f>
        <v>7013</v>
      </c>
      <c r="D11" s="14">
        <f>26+1026</f>
        <v>1052</v>
      </c>
      <c r="E11" s="240">
        <f t="shared" si="5"/>
        <v>82.565520065520076</v>
      </c>
      <c r="F11" s="15">
        <f t="shared" si="1"/>
        <v>100</v>
      </c>
      <c r="G11" s="14">
        <v>7829</v>
      </c>
      <c r="H11" s="240">
        <f t="shared" si="6"/>
        <v>83.652099583288802</v>
      </c>
      <c r="I11" s="15">
        <f t="shared" si="2"/>
        <v>97.073775573465596</v>
      </c>
      <c r="J11" s="14">
        <v>236</v>
      </c>
      <c r="K11" s="240">
        <f t="shared" si="7"/>
        <v>57.701711491442545</v>
      </c>
      <c r="L11" s="106">
        <f t="shared" si="3"/>
        <v>2.9262244265344082</v>
      </c>
      <c r="M11" s="108">
        <f t="shared" si="4"/>
        <v>638</v>
      </c>
      <c r="N11" s="109">
        <v>502</v>
      </c>
      <c r="O11" s="110">
        <v>136</v>
      </c>
      <c r="P11" s="240">
        <f t="shared" si="8"/>
        <v>30.308788598574822</v>
      </c>
      <c r="Q11" s="306"/>
      <c r="R11" s="306"/>
    </row>
    <row r="12" spans="1:18" ht="30" customHeight="1">
      <c r="A12" s="13" t="s">
        <v>301</v>
      </c>
      <c r="B12" s="14">
        <f t="shared" si="0"/>
        <v>9066</v>
      </c>
      <c r="C12" s="14">
        <f>7009+602+284</f>
        <v>7895</v>
      </c>
      <c r="D12" s="14">
        <f>1005+149+17</f>
        <v>1171</v>
      </c>
      <c r="E12" s="240">
        <f t="shared" si="5"/>
        <v>92.813267813267814</v>
      </c>
      <c r="F12" s="15">
        <f>SUM(L12,I12)</f>
        <v>100</v>
      </c>
      <c r="G12" s="14">
        <v>8765</v>
      </c>
      <c r="H12" s="240">
        <f t="shared" si="6"/>
        <v>93.653168073512134</v>
      </c>
      <c r="I12" s="15">
        <f t="shared" si="2"/>
        <v>96.679902934039262</v>
      </c>
      <c r="J12" s="14">
        <v>301</v>
      </c>
      <c r="K12" s="240">
        <f t="shared" si="7"/>
        <v>73.59413202933986</v>
      </c>
      <c r="L12" s="106">
        <f t="shared" si="3"/>
        <v>3.3200970659607325</v>
      </c>
      <c r="M12" s="108">
        <f t="shared" si="4"/>
        <v>544</v>
      </c>
      <c r="N12" s="109">
        <v>442</v>
      </c>
      <c r="O12" s="110">
        <v>102</v>
      </c>
      <c r="P12" s="240">
        <f t="shared" si="8"/>
        <v>25.843230403800476</v>
      </c>
      <c r="Q12" s="306"/>
      <c r="R12" s="306"/>
    </row>
    <row r="13" spans="1:18" ht="30" customHeight="1">
      <c r="A13" s="13" t="s">
        <v>44</v>
      </c>
      <c r="B13" s="14">
        <v>8471</v>
      </c>
      <c r="C13" s="14">
        <v>7356</v>
      </c>
      <c r="D13" s="14">
        <v>1115</v>
      </c>
      <c r="E13" s="240">
        <f t="shared" si="5"/>
        <v>86.721949221949217</v>
      </c>
      <c r="F13" s="15">
        <f>SUM(L13,I13)</f>
        <v>99.998256404202579</v>
      </c>
      <c r="G13" s="14">
        <v>8121</v>
      </c>
      <c r="H13" s="240">
        <f t="shared" si="6"/>
        <v>86.772091035367026</v>
      </c>
      <c r="I13" s="15">
        <f>G13/B13*100</f>
        <v>95.868256404202583</v>
      </c>
      <c r="J13" s="14">
        <v>350</v>
      </c>
      <c r="K13" s="240">
        <f t="shared" si="7"/>
        <v>85.574572127139362</v>
      </c>
      <c r="L13" s="106">
        <v>4.13</v>
      </c>
      <c r="M13" s="110">
        <v>387</v>
      </c>
      <c r="N13" s="109">
        <v>302</v>
      </c>
      <c r="O13" s="110">
        <v>85</v>
      </c>
      <c r="P13" s="240">
        <f t="shared" si="8"/>
        <v>18.38479809976247</v>
      </c>
      <c r="Q13" s="306"/>
      <c r="R13" s="306"/>
    </row>
    <row r="14" spans="1:18" ht="30" customHeight="1">
      <c r="A14" s="13" t="s">
        <v>302</v>
      </c>
      <c r="B14" s="14">
        <f>G14+J14</f>
        <v>9368</v>
      </c>
      <c r="C14" s="14">
        <f>7068+712+354</f>
        <v>8134</v>
      </c>
      <c r="D14" s="14">
        <f>1010+197+27</f>
        <v>1234</v>
      </c>
      <c r="E14" s="240">
        <f t="shared" si="5"/>
        <v>95.9049959049959</v>
      </c>
      <c r="F14" s="15">
        <f>SUM(L14,I14)</f>
        <v>100</v>
      </c>
      <c r="G14" s="14">
        <v>8987</v>
      </c>
      <c r="H14" s="240">
        <f t="shared" si="6"/>
        <v>96.025216369270211</v>
      </c>
      <c r="I14" s="15">
        <f>G14/B14*100</f>
        <v>95.932963279248511</v>
      </c>
      <c r="J14" s="14">
        <v>381</v>
      </c>
      <c r="K14" s="240">
        <f t="shared" si="7"/>
        <v>93.154034229828852</v>
      </c>
      <c r="L14" s="106">
        <f>J14/B14*100</f>
        <v>4.0670367207514939</v>
      </c>
      <c r="M14" s="110">
        <v>349</v>
      </c>
      <c r="N14" s="109">
        <v>295</v>
      </c>
      <c r="O14" s="110">
        <v>54</v>
      </c>
      <c r="P14" s="240">
        <f t="shared" si="8"/>
        <v>16.579572446555822</v>
      </c>
      <c r="Q14" s="306"/>
      <c r="R14" s="306"/>
    </row>
    <row r="15" spans="1:18" ht="30" customHeight="1">
      <c r="A15" s="13" t="s">
        <v>618</v>
      </c>
      <c r="B15" s="14">
        <f>G15+J15</f>
        <v>9268</v>
      </c>
      <c r="C15" s="14">
        <f>6781+945+300</f>
        <v>8026</v>
      </c>
      <c r="D15" s="14">
        <f>17+970+255</f>
        <v>1242</v>
      </c>
      <c r="E15" s="240">
        <f t="shared" si="5"/>
        <v>94.881244881244882</v>
      </c>
      <c r="F15" s="15">
        <f>SUM(L15,I15)</f>
        <v>99.999999999999986</v>
      </c>
      <c r="G15" s="14">
        <f>6781+945+970+255</f>
        <v>8951</v>
      </c>
      <c r="H15" s="240">
        <f t="shared" si="6"/>
        <v>95.640559888877021</v>
      </c>
      <c r="I15" s="15">
        <f>G15/B15*100</f>
        <v>96.57962883038411</v>
      </c>
      <c r="J15" s="14">
        <v>317</v>
      </c>
      <c r="K15" s="240">
        <f t="shared" si="7"/>
        <v>77.506112469437653</v>
      </c>
      <c r="L15" s="106">
        <f>J15/B15*100</f>
        <v>3.4203711696158825</v>
      </c>
      <c r="M15" s="110">
        <f>242+24</f>
        <v>266</v>
      </c>
      <c r="N15" s="109">
        <v>242</v>
      </c>
      <c r="O15" s="110">
        <v>24</v>
      </c>
      <c r="P15" s="240">
        <f t="shared" si="8"/>
        <v>12.636579572446555</v>
      </c>
      <c r="Q15" s="306"/>
      <c r="R15" s="306"/>
    </row>
    <row r="16" spans="1:18" ht="15.95" customHeight="1">
      <c r="A16" s="465" t="s">
        <v>303</v>
      </c>
      <c r="B16" s="465"/>
      <c r="C16" s="465"/>
      <c r="D16" s="465"/>
      <c r="E16" s="465"/>
      <c r="F16" s="465"/>
      <c r="G16" s="465"/>
      <c r="H16" s="465"/>
      <c r="I16" s="465"/>
      <c r="J16" s="465"/>
      <c r="K16" s="465"/>
      <c r="L16" s="465"/>
      <c r="M16" s="465"/>
      <c r="N16" s="465"/>
      <c r="O16" s="465"/>
      <c r="P16" s="465"/>
      <c r="Q16" s="306"/>
      <c r="R16" s="306"/>
    </row>
    <row r="17" spans="1:18" ht="60" customHeight="1">
      <c r="A17" s="466" t="s">
        <v>643</v>
      </c>
      <c r="B17" s="467"/>
      <c r="C17" s="467"/>
      <c r="D17" s="467"/>
      <c r="E17" s="467"/>
      <c r="F17" s="467"/>
      <c r="G17" s="467"/>
      <c r="H17" s="467"/>
      <c r="I17" s="467"/>
      <c r="J17" s="467"/>
      <c r="K17" s="467"/>
      <c r="L17" s="467"/>
      <c r="M17" s="467"/>
      <c r="N17" s="467"/>
      <c r="O17" s="467"/>
      <c r="P17" s="467"/>
      <c r="Q17" s="306"/>
      <c r="R17" s="306"/>
    </row>
    <row r="20" spans="1:18">
      <c r="E20" s="239"/>
      <c r="H20" s="239"/>
      <c r="I20" s="297"/>
      <c r="K20" s="239"/>
    </row>
    <row r="21" spans="1:18">
      <c r="E21" s="239"/>
      <c r="H21" s="239"/>
      <c r="K21" s="239"/>
    </row>
    <row r="22" spans="1:18">
      <c r="E22" s="239"/>
      <c r="H22" s="239"/>
      <c r="K22" s="239"/>
    </row>
    <row r="23" spans="1:18">
      <c r="E23" s="239"/>
      <c r="H23" s="239"/>
      <c r="K23" s="239"/>
    </row>
    <row r="24" spans="1:18">
      <c r="E24" s="239"/>
      <c r="H24" s="239"/>
      <c r="K24" s="239"/>
    </row>
    <row r="25" spans="1:18">
      <c r="E25" s="239"/>
      <c r="H25" s="239"/>
      <c r="K25" s="239"/>
    </row>
    <row r="26" spans="1:18">
      <c r="E26" s="239"/>
      <c r="H26" s="239"/>
      <c r="K26" s="239"/>
    </row>
    <row r="27" spans="1:18">
      <c r="E27" s="239"/>
      <c r="H27" s="239"/>
      <c r="K27" s="239"/>
    </row>
    <row r="28" spans="1:18">
      <c r="E28" s="239"/>
      <c r="H28" s="239"/>
      <c r="K28" s="239"/>
    </row>
    <row r="29" spans="1:18">
      <c r="E29" s="239"/>
      <c r="H29" s="239"/>
      <c r="K29" s="239"/>
    </row>
  </sheetData>
  <mergeCells count="20">
    <mergeCell ref="A16:P16"/>
    <mergeCell ref="A17:P17"/>
    <mergeCell ref="G4:G5"/>
    <mergeCell ref="H4:H5"/>
    <mergeCell ref="I4:I5"/>
    <mergeCell ref="J4:J5"/>
    <mergeCell ref="K4:K5"/>
    <mergeCell ref="L4:L5"/>
    <mergeCell ref="A1:P1"/>
    <mergeCell ref="A2:A5"/>
    <mergeCell ref="B2:L2"/>
    <mergeCell ref="M2:P3"/>
    <mergeCell ref="B3:F3"/>
    <mergeCell ref="G3:I3"/>
    <mergeCell ref="J3:L3"/>
    <mergeCell ref="B4:D4"/>
    <mergeCell ref="E4:E5"/>
    <mergeCell ref="F4:F5"/>
    <mergeCell ref="M4:O4"/>
    <mergeCell ref="P4:P5"/>
  </mergeCells>
  <phoneticPr fontId="20" type="noConversion"/>
  <hyperlinks>
    <hyperlink ref="Q1" location="本篇表次!A1" display="回本篇表次"/>
  </hyperlinks>
  <printOptions horizontalCentered="1" verticalCentered="1"/>
  <pageMargins left="0.70866141732283472" right="0.70866141732283472" top="0.74803149606299213" bottom="0.74803149606299213" header="0.31496062992125984" footer="0.31496062992125984"/>
  <pageSetup paperSize="224"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44</vt:i4>
      </vt:variant>
      <vt:variant>
        <vt:lpstr>已命名的範圍</vt:lpstr>
      </vt:variant>
      <vt:variant>
        <vt:i4>28</vt:i4>
      </vt:variant>
    </vt:vector>
  </HeadingPairs>
  <TitlesOfParts>
    <vt:vector size="72" baseType="lpstr">
      <vt:lpstr>本篇表次</vt:lpstr>
      <vt:lpstr>本篇表次對應少年事件程序圖</vt:lpstr>
      <vt:lpstr>3-1-1</vt:lpstr>
      <vt:lpstr>3-1-2</vt:lpstr>
      <vt:lpstr>3-1-3</vt:lpstr>
      <vt:lpstr>3-2-1</vt:lpstr>
      <vt:lpstr>3-2-2</vt:lpstr>
      <vt:lpstr>3-2-3</vt:lpstr>
      <vt:lpstr>3-2-4</vt:lpstr>
      <vt:lpstr>3-2-5</vt:lpstr>
      <vt:lpstr>3-2-6</vt:lpstr>
      <vt:lpstr>3-2-7 </vt:lpstr>
      <vt:lpstr>3-2-8</vt:lpstr>
      <vt:lpstr>3-2-9</vt:lpstr>
      <vt:lpstr>3-2-10</vt:lpstr>
      <vt:lpstr>3-2-11</vt:lpstr>
      <vt:lpstr>3-2-12</vt:lpstr>
      <vt:lpstr>3-2-13</vt:lpstr>
      <vt:lpstr>3-2-14</vt:lpstr>
      <vt:lpstr>3-2-15</vt:lpstr>
      <vt:lpstr>3-2-16</vt:lpstr>
      <vt:lpstr>3-2-17</vt:lpstr>
      <vt:lpstr>3-2-18</vt:lpstr>
      <vt:lpstr>3-2-19</vt:lpstr>
      <vt:lpstr>3-2-20</vt:lpstr>
      <vt:lpstr>3-2-21</vt:lpstr>
      <vt:lpstr>3-2-22</vt:lpstr>
      <vt:lpstr>3-2-23</vt:lpstr>
      <vt:lpstr>3-2-24</vt:lpstr>
      <vt:lpstr>3-2-25</vt:lpstr>
      <vt:lpstr>3-2-26</vt:lpstr>
      <vt:lpstr>3-2-27</vt:lpstr>
      <vt:lpstr>3-3-1</vt:lpstr>
      <vt:lpstr>3-3-2</vt:lpstr>
      <vt:lpstr>3-3-3</vt:lpstr>
      <vt:lpstr>3-3-4</vt:lpstr>
      <vt:lpstr>3-3-5</vt:lpstr>
      <vt:lpstr>3-3-6</vt:lpstr>
      <vt:lpstr>3-3-7</vt:lpstr>
      <vt:lpstr>3-3-8</vt:lpstr>
      <vt:lpstr>3-3-9</vt:lpstr>
      <vt:lpstr>3-3-10</vt:lpstr>
      <vt:lpstr>3-3-11</vt:lpstr>
      <vt:lpstr>3-3-12</vt:lpstr>
      <vt:lpstr>'3-1-1'!Print_Area</vt:lpstr>
      <vt:lpstr>'3-1-2'!Print_Area</vt:lpstr>
      <vt:lpstr>'3-1-3'!Print_Area</vt:lpstr>
      <vt:lpstr>'3-2-1'!Print_Area</vt:lpstr>
      <vt:lpstr>'3-2-10'!Print_Area</vt:lpstr>
      <vt:lpstr>'3-2-11'!Print_Area</vt:lpstr>
      <vt:lpstr>'3-2-12'!Print_Area</vt:lpstr>
      <vt:lpstr>'3-2-13'!Print_Area</vt:lpstr>
      <vt:lpstr>'3-2-14'!Print_Area</vt:lpstr>
      <vt:lpstr>'3-2-15'!Print_Area</vt:lpstr>
      <vt:lpstr>'3-2-16'!Print_Area</vt:lpstr>
      <vt:lpstr>'3-2-17'!Print_Area</vt:lpstr>
      <vt:lpstr>'3-2-18'!Print_Area</vt:lpstr>
      <vt:lpstr>'3-2-19'!Print_Area</vt:lpstr>
      <vt:lpstr>'3-2-2'!Print_Area</vt:lpstr>
      <vt:lpstr>'3-2-20'!Print_Area</vt:lpstr>
      <vt:lpstr>'3-2-21'!Print_Area</vt:lpstr>
      <vt:lpstr>'3-2-3'!Print_Area</vt:lpstr>
      <vt:lpstr>'3-2-4'!Print_Area</vt:lpstr>
      <vt:lpstr>'3-2-5'!Print_Area</vt:lpstr>
      <vt:lpstr>'3-2-6'!Print_Area</vt:lpstr>
      <vt:lpstr>'3-2-7 '!Print_Area</vt:lpstr>
      <vt:lpstr>'3-2-8'!Print_Area</vt:lpstr>
      <vt:lpstr>'3-2-9'!Print_Area</vt:lpstr>
      <vt:lpstr>'3-3-1'!Print_Area</vt:lpstr>
      <vt:lpstr>'3-3-11'!Print_Area</vt:lpstr>
      <vt:lpstr>'3-3-12'!Print_Area</vt:lpstr>
      <vt:lpstr>本篇表次對應少年事件程序圖!Print_Area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蔡宜家</cp:lastModifiedBy>
  <cp:lastPrinted>2024-11-18T09:47:20Z</cp:lastPrinted>
  <dcterms:created xsi:type="dcterms:W3CDTF">2023-06-08T04:29:54Z</dcterms:created>
  <dcterms:modified xsi:type="dcterms:W3CDTF">2024-12-11T05:23:31Z</dcterms:modified>
</cp:coreProperties>
</file>